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6" firstSheet="2" activeTab="16"/>
  </bookViews>
  <sheets>
    <sheet name="Cover Page" sheetId="55" state="hidden" r:id="rId1"/>
    <sheet name="Contents" sheetId="56" state="hidden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IB'!$C$1:$C$74</definedName>
    <definedName name="_xlnm._FilterDatabase" localSheetId="8" hidden="1">'Table IIE'!$A$1:$T$58</definedName>
    <definedName name="_xlnm._FilterDatabase" localSheetId="10" hidden="1">'Table IIG'!$A$1:$BS$54</definedName>
    <definedName name="_xlnm._FilterDatabase" localSheetId="25" hidden="1">'Table XIIA'!$A$1:$BT$48</definedName>
    <definedName name="_xlnm._FilterDatabase" localSheetId="27" hidden="1">TableXIII!$M$47:$M$48</definedName>
    <definedName name="_xlnm._FilterDatabase" localSheetId="35" hidden="1">TableXXI!$A$1:$AJ$50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IB'!$C$1:$C$74</definedName>
    <definedName name="Z_A374FC54_96E3_45F0_9C12_8450400C12DF_.wvu.Rows" localSheetId="14" hidden="1">'Table V'!$38:$45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C45" i="66"/>
  <c r="B45"/>
  <c r="E45"/>
  <c r="J46" i="33"/>
  <c r="J45"/>
  <c r="K51"/>
  <c r="J51"/>
  <c r="J50"/>
  <c r="J49"/>
  <c r="J48"/>
  <c r="J47"/>
  <c r="H45" i="66"/>
  <c r="G45"/>
  <c r="F45"/>
  <c r="D45"/>
  <c r="U50" i="6"/>
  <c r="V50" s="1"/>
  <c r="M50"/>
  <c r="N50" s="1"/>
  <c r="J50"/>
  <c r="G50"/>
  <c r="D50"/>
  <c r="D4" i="63"/>
  <c r="C4"/>
  <c r="G4"/>
  <c r="Q50" i="41"/>
  <c r="P50"/>
  <c r="Q49"/>
  <c r="P49"/>
  <c r="Q48"/>
  <c r="P48"/>
  <c r="Q47"/>
  <c r="P47"/>
  <c r="Q46"/>
  <c r="P46"/>
  <c r="P45"/>
  <c r="Q45" s="1"/>
  <c r="Q44"/>
  <c r="P44"/>
  <c r="P42"/>
  <c r="Q42" s="1"/>
  <c r="Q30" s="1"/>
  <c r="Q41"/>
  <c r="P41"/>
  <c r="Q40"/>
  <c r="P40"/>
  <c r="Q39"/>
  <c r="P39"/>
  <c r="Q38"/>
  <c r="P38"/>
  <c r="Q37"/>
  <c r="P37"/>
  <c r="P36"/>
  <c r="Q36" s="1"/>
  <c r="Q35"/>
  <c r="P35"/>
  <c r="P34"/>
  <c r="Q34" s="1"/>
  <c r="Q33"/>
  <c r="P33"/>
  <c r="Q32"/>
  <c r="P32"/>
  <c r="Q31"/>
  <c r="P31"/>
  <c r="O30"/>
  <c r="N30"/>
  <c r="M30"/>
  <c r="L30"/>
  <c r="K30"/>
  <c r="J30"/>
  <c r="I30"/>
  <c r="H30"/>
  <c r="G30"/>
  <c r="F30"/>
  <c r="E30"/>
  <c r="D30"/>
  <c r="C30"/>
  <c r="B30"/>
  <c r="Q29"/>
  <c r="P29"/>
  <c r="Q28"/>
  <c r="P28"/>
  <c r="P27"/>
  <c r="Q27" s="1"/>
  <c r="Q26"/>
  <c r="P26"/>
  <c r="P25"/>
  <c r="Q25" s="1"/>
  <c r="Q24"/>
  <c r="P24"/>
  <c r="Q23"/>
  <c r="P23"/>
  <c r="Q22"/>
  <c r="P22"/>
  <c r="Q21"/>
  <c r="P21"/>
  <c r="Q20"/>
  <c r="P20"/>
  <c r="P19"/>
  <c r="Q19" s="1"/>
  <c r="Q18"/>
  <c r="P18"/>
  <c r="Q17"/>
  <c r="P17"/>
  <c r="O17"/>
  <c r="N17"/>
  <c r="M17"/>
  <c r="L17"/>
  <c r="K17"/>
  <c r="J17"/>
  <c r="I17"/>
  <c r="H17"/>
  <c r="G17"/>
  <c r="F17"/>
  <c r="E17"/>
  <c r="D17"/>
  <c r="C17"/>
  <c r="B17"/>
  <c r="E48" i="40"/>
  <c r="D48"/>
  <c r="E47"/>
  <c r="D47"/>
  <c r="E46"/>
  <c r="D46"/>
  <c r="E45"/>
  <c r="D45"/>
  <c r="E44"/>
  <c r="D44"/>
  <c r="E43"/>
  <c r="E41"/>
  <c r="E29" s="1"/>
  <c r="E37"/>
  <c r="D37"/>
  <c r="D33"/>
  <c r="E32"/>
  <c r="D32"/>
  <c r="E31"/>
  <c r="D31"/>
  <c r="E30"/>
  <c r="D30"/>
  <c r="D29"/>
  <c r="C29"/>
  <c r="B29"/>
  <c r="E28"/>
  <c r="E16" s="1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J18"/>
  <c r="E18"/>
  <c r="D18"/>
  <c r="E17"/>
  <c r="D17"/>
  <c r="D16"/>
  <c r="C16"/>
  <c r="B16"/>
  <c r="J14"/>
  <c r="J21" s="1"/>
  <c r="J13"/>
  <c r="J12"/>
  <c r="J20" s="1"/>
  <c r="J11"/>
  <c r="J19" s="1"/>
  <c r="J10"/>
  <c r="J9"/>
  <c r="J8"/>
  <c r="J17" s="1"/>
  <c r="J25" s="1"/>
  <c r="J7"/>
  <c r="J16" s="1"/>
  <c r="J24" s="1"/>
  <c r="I7"/>
  <c r="I8" s="1"/>
  <c r="I9" s="1"/>
  <c r="I10" s="1"/>
  <c r="I11" s="1"/>
  <c r="I12" s="1"/>
  <c r="J6"/>
  <c r="J15" s="1"/>
  <c r="J23" s="1"/>
  <c r="I6"/>
  <c r="J5"/>
  <c r="I5"/>
  <c r="K55" i="39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S38"/>
  <c r="K38"/>
  <c r="I38"/>
  <c r="H38"/>
  <c r="F38"/>
  <c r="E38"/>
  <c r="D38"/>
  <c r="C38"/>
  <c r="B38"/>
  <c r="W37"/>
  <c r="V37"/>
  <c r="V38" s="1"/>
  <c r="U37"/>
  <c r="S37"/>
  <c r="Q37"/>
  <c r="L37"/>
  <c r="J37"/>
  <c r="G37"/>
  <c r="V36"/>
  <c r="S36"/>
  <c r="K36"/>
  <c r="I36"/>
  <c r="H36"/>
  <c r="F36"/>
  <c r="E36"/>
  <c r="D36"/>
  <c r="C36"/>
  <c r="B36"/>
  <c r="W35"/>
  <c r="V35"/>
  <c r="U35"/>
  <c r="S35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7" i="38"/>
  <c r="W37" s="1"/>
  <c r="U35"/>
  <c r="W33"/>
  <c r="J34" s="1"/>
  <c r="U33"/>
  <c r="U34" s="1"/>
  <c r="W32"/>
  <c r="Q32"/>
  <c r="I32"/>
  <c r="H32"/>
  <c r="G32"/>
  <c r="Y31"/>
  <c r="W31"/>
  <c r="S32" s="1"/>
  <c r="U31"/>
  <c r="U32" s="1"/>
  <c r="R30"/>
  <c r="Q30"/>
  <c r="J30"/>
  <c r="B30"/>
  <c r="Y29"/>
  <c r="W29"/>
  <c r="L30" s="1"/>
  <c r="U29"/>
  <c r="U30" s="1"/>
  <c r="S28"/>
  <c r="R28"/>
  <c r="N28"/>
  <c r="K28"/>
  <c r="J28"/>
  <c r="I28"/>
  <c r="H28"/>
  <c r="C28"/>
  <c r="B28"/>
  <c r="W27"/>
  <c r="E28" s="1"/>
  <c r="U27"/>
  <c r="U28" s="1"/>
  <c r="U25"/>
  <c r="W25" s="1"/>
  <c r="U24"/>
  <c r="T24"/>
  <c r="M24"/>
  <c r="L24"/>
  <c r="K24"/>
  <c r="J24"/>
  <c r="E24"/>
  <c r="D24"/>
  <c r="W23"/>
  <c r="W24" s="1"/>
  <c r="U23"/>
  <c r="U20"/>
  <c r="W20" s="1"/>
  <c r="U18"/>
  <c r="W18" s="1"/>
  <c r="W17"/>
  <c r="H17"/>
  <c r="G17"/>
  <c r="W16"/>
  <c r="R17" s="1"/>
  <c r="U16"/>
  <c r="U17" s="1"/>
  <c r="Q15"/>
  <c r="Y14"/>
  <c r="W14"/>
  <c r="K15" s="1"/>
  <c r="U14"/>
  <c r="U15" s="1"/>
  <c r="U12"/>
  <c r="S11"/>
  <c r="R11"/>
  <c r="Q11"/>
  <c r="K11"/>
  <c r="J11"/>
  <c r="C11"/>
  <c r="B11"/>
  <c r="Y10"/>
  <c r="W10"/>
  <c r="M11" s="1"/>
  <c r="U10"/>
  <c r="U11" s="1"/>
  <c r="U8"/>
  <c r="W8" s="1"/>
  <c r="U7"/>
  <c r="T7"/>
  <c r="S7"/>
  <c r="R7"/>
  <c r="N7"/>
  <c r="M7"/>
  <c r="L7"/>
  <c r="J7"/>
  <c r="H7"/>
  <c r="E7"/>
  <c r="D7"/>
  <c r="C7"/>
  <c r="B7"/>
  <c r="W6"/>
  <c r="O7" s="1"/>
  <c r="U6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P30" i="41" l="1"/>
  <c r="I13" i="40"/>
  <c r="I18"/>
  <c r="I14"/>
  <c r="I20" s="1"/>
  <c r="J22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6"/>
  <c r="Q26"/>
  <c r="Y25"/>
  <c r="B26"/>
  <c r="O26"/>
  <c r="C26"/>
  <c r="P26"/>
  <c r="S26"/>
  <c r="D26"/>
  <c r="E26"/>
  <c r="V26"/>
  <c r="F26"/>
  <c r="W26"/>
  <c r="G26"/>
  <c r="T26"/>
  <c r="H26"/>
  <c r="I26"/>
  <c r="J26"/>
  <c r="K26"/>
  <c r="L26"/>
  <c r="M26"/>
  <c r="R26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38"/>
  <c r="I38"/>
  <c r="J38"/>
  <c r="K38"/>
  <c r="L38"/>
  <c r="M38"/>
  <c r="N38"/>
  <c r="O38"/>
  <c r="F38"/>
  <c r="P38"/>
  <c r="Y37"/>
  <c r="Q38"/>
  <c r="R38"/>
  <c r="B38"/>
  <c r="C38"/>
  <c r="S38"/>
  <c r="T38"/>
  <c r="D38"/>
  <c r="E38"/>
  <c r="V38"/>
  <c r="W38"/>
  <c r="G38"/>
  <c r="U36"/>
  <c r="O34"/>
  <c r="N34"/>
  <c r="U9"/>
  <c r="L11"/>
  <c r="J15"/>
  <c r="Y16"/>
  <c r="Q17"/>
  <c r="F24"/>
  <c r="V24"/>
  <c r="D28"/>
  <c r="T28"/>
  <c r="K30"/>
  <c r="B32"/>
  <c r="R32"/>
  <c r="I34"/>
  <c r="W35"/>
  <c r="U38"/>
  <c r="P34"/>
  <c r="P15"/>
  <c r="P17"/>
  <c r="O17"/>
  <c r="I30"/>
  <c r="P32"/>
  <c r="G34"/>
  <c r="W34"/>
  <c r="K7"/>
  <c r="I11"/>
  <c r="W12"/>
  <c r="G15"/>
  <c r="W15"/>
  <c r="N17"/>
  <c r="U19"/>
  <c r="C24"/>
  <c r="S24"/>
  <c r="Y27"/>
  <c r="Q28"/>
  <c r="H30"/>
  <c r="O32"/>
  <c r="F34"/>
  <c r="V34"/>
  <c r="I15"/>
  <c r="H15"/>
  <c r="H11"/>
  <c r="F15"/>
  <c r="V15"/>
  <c r="M17"/>
  <c r="B24"/>
  <c r="R24"/>
  <c r="P28"/>
  <c r="G30"/>
  <c r="W30"/>
  <c r="N32"/>
  <c r="E34"/>
  <c r="I7"/>
  <c r="G11"/>
  <c r="W11"/>
  <c r="E15"/>
  <c r="L17"/>
  <c r="Y23"/>
  <c r="Q24"/>
  <c r="O28"/>
  <c r="F30"/>
  <c r="V30"/>
  <c r="M32"/>
  <c r="D34"/>
  <c r="T34"/>
  <c r="H34"/>
  <c r="F11"/>
  <c r="D15"/>
  <c r="K17"/>
  <c r="P24"/>
  <c r="E30"/>
  <c r="C34"/>
  <c r="G7"/>
  <c r="W7"/>
  <c r="E11"/>
  <c r="C15"/>
  <c r="S15"/>
  <c r="J17"/>
  <c r="O24"/>
  <c r="M28"/>
  <c r="D30"/>
  <c r="T30"/>
  <c r="K32"/>
  <c r="B34"/>
  <c r="R34"/>
  <c r="V11"/>
  <c r="T15"/>
  <c r="L32"/>
  <c r="S34"/>
  <c r="F7"/>
  <c r="V7"/>
  <c r="D11"/>
  <c r="T11"/>
  <c r="B15"/>
  <c r="R15"/>
  <c r="I17"/>
  <c r="N24"/>
  <c r="U26"/>
  <c r="L28"/>
  <c r="C30"/>
  <c r="S30"/>
  <c r="J32"/>
  <c r="Y33"/>
  <c r="Q34"/>
  <c r="O15"/>
  <c r="F17"/>
  <c r="P30"/>
  <c r="N15"/>
  <c r="F32"/>
  <c r="Y6"/>
  <c r="Q7"/>
  <c r="O11"/>
  <c r="M15"/>
  <c r="D17"/>
  <c r="T17"/>
  <c r="I24"/>
  <c r="G28"/>
  <c r="W28"/>
  <c r="N30"/>
  <c r="E32"/>
  <c r="L34"/>
  <c r="V17"/>
  <c r="P11"/>
  <c r="M34"/>
  <c r="P7"/>
  <c r="N11"/>
  <c r="L15"/>
  <c r="C17"/>
  <c r="S17"/>
  <c r="H24"/>
  <c r="F28"/>
  <c r="V28"/>
  <c r="M30"/>
  <c r="D32"/>
  <c r="T32"/>
  <c r="K34"/>
  <c r="E17"/>
  <c r="O30"/>
  <c r="V32"/>
  <c r="B17"/>
  <c r="G24"/>
  <c r="C32"/>
  <c r="I15" i="40" l="1"/>
  <c r="I19"/>
  <c r="I16"/>
  <c r="I17"/>
  <c r="I23"/>
  <c r="I24"/>
  <c r="I25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6"/>
  <c r="Y35"/>
  <c r="T36"/>
  <c r="R36"/>
  <c r="B36"/>
  <c r="E36"/>
  <c r="F36"/>
  <c r="G36"/>
  <c r="S36"/>
  <c r="C36"/>
  <c r="D36"/>
  <c r="V36"/>
  <c r="W36"/>
  <c r="H36"/>
  <c r="J36"/>
  <c r="I36"/>
  <c r="K36"/>
  <c r="L36"/>
  <c r="M36"/>
  <c r="N36"/>
  <c r="O36"/>
  <c r="P36"/>
  <c r="U13"/>
  <c r="I22" i="40" l="1"/>
  <c r="I21"/>
  <c r="AO50" i="7" l="1"/>
  <c r="AN50"/>
  <c r="AM50"/>
  <c r="AM51"/>
  <c r="AN51" s="1"/>
  <c r="AO51" s="1"/>
  <c r="AM49"/>
  <c r="AN49" s="1"/>
  <c r="AO49" s="1"/>
  <c r="O51" l="1"/>
  <c r="K51"/>
  <c r="L51"/>
  <c r="G51" l="1"/>
  <c r="F51" l="1"/>
  <c r="E51"/>
  <c r="D51"/>
  <c r="C51"/>
  <c r="B51"/>
  <c r="M52" i="5"/>
  <c r="J52"/>
  <c r="F52" l="1"/>
  <c r="I52" s="1"/>
  <c r="B52"/>
  <c r="E52" s="1"/>
  <c r="O52"/>
  <c r="L52"/>
  <c r="K50" i="36"/>
  <c r="I50"/>
  <c r="F50"/>
  <c r="J50" i="35"/>
  <c r="I50"/>
  <c r="F50"/>
  <c r="K50" i="33"/>
  <c r="K49"/>
  <c r="K48"/>
  <c r="K47"/>
  <c r="K46"/>
  <c r="K45"/>
  <c r="K43"/>
  <c r="J43"/>
  <c r="K42"/>
  <c r="J42"/>
  <c r="J41"/>
  <c r="K41" s="1"/>
  <c r="K40"/>
  <c r="J40"/>
  <c r="K39"/>
  <c r="J39"/>
  <c r="K38"/>
  <c r="J38"/>
  <c r="J37"/>
  <c r="K37" s="1"/>
  <c r="K36"/>
  <c r="J36"/>
  <c r="K35"/>
  <c r="J35"/>
  <c r="K34"/>
  <c r="J34"/>
  <c r="J33"/>
  <c r="K33" s="1"/>
  <c r="K32"/>
  <c r="J32"/>
  <c r="O31"/>
  <c r="N31"/>
  <c r="M31"/>
  <c r="L31"/>
  <c r="J31"/>
  <c r="I31"/>
  <c r="H31"/>
  <c r="G31"/>
  <c r="F31"/>
  <c r="E31"/>
  <c r="D31"/>
  <c r="C31"/>
  <c r="B31"/>
  <c r="K30"/>
  <c r="J30"/>
  <c r="K29"/>
  <c r="J29"/>
  <c r="K28"/>
  <c r="J28"/>
  <c r="J27"/>
  <c r="K27" s="1"/>
  <c r="K26"/>
  <c r="J26"/>
  <c r="K25"/>
  <c r="J25"/>
  <c r="K24"/>
  <c r="J24"/>
  <c r="J23"/>
  <c r="K23" s="1"/>
  <c r="K22"/>
  <c r="J22"/>
  <c r="K21"/>
  <c r="J21"/>
  <c r="K20"/>
  <c r="J20"/>
  <c r="J19"/>
  <c r="K19" s="1"/>
  <c r="O18"/>
  <c r="N18"/>
  <c r="M18"/>
  <c r="L18"/>
  <c r="I18"/>
  <c r="H18"/>
  <c r="G18"/>
  <c r="F18"/>
  <c r="E18"/>
  <c r="D18"/>
  <c r="C18"/>
  <c r="B18"/>
  <c r="J7" i="13"/>
  <c r="I7"/>
  <c r="G7"/>
  <c r="F7"/>
  <c r="D7"/>
  <c r="C7"/>
  <c r="P52" i="5" l="1"/>
  <c r="R52" s="1"/>
  <c r="S52" s="1"/>
  <c r="K50" i="35"/>
  <c r="K31" i="33"/>
  <c r="K18"/>
  <c r="J18"/>
  <c r="BF48" i="59" l="1"/>
  <c r="F48"/>
  <c r="G48"/>
  <c r="BX51" i="1"/>
  <c r="BU51"/>
  <c r="BA51"/>
  <c r="AV51"/>
  <c r="O34" i="7"/>
  <c r="O35"/>
  <c r="O36"/>
  <c r="O37"/>
  <c r="O38"/>
  <c r="O39"/>
  <c r="O40"/>
  <c r="O41"/>
  <c r="O42"/>
  <c r="O43"/>
  <c r="O44"/>
  <c r="O46"/>
  <c r="O47"/>
  <c r="O48"/>
  <c r="O49"/>
  <c r="O50"/>
  <c r="O33"/>
  <c r="O21"/>
  <c r="O22"/>
  <c r="O23"/>
  <c r="O24"/>
  <c r="O25"/>
  <c r="O26"/>
  <c r="O27"/>
  <c r="O28"/>
  <c r="O29"/>
  <c r="O30"/>
  <c r="O31"/>
  <c r="O20"/>
  <c r="AO8"/>
  <c r="AO9"/>
  <c r="AO10"/>
  <c r="AO11"/>
  <c r="AO12"/>
  <c r="AO13"/>
  <c r="AO14"/>
  <c r="AO15"/>
  <c r="AO16"/>
  <c r="AO17"/>
  <c r="AO18"/>
  <c r="AO7"/>
  <c r="K20" l="1"/>
  <c r="K50"/>
  <c r="K49"/>
  <c r="K48"/>
  <c r="K47"/>
  <c r="K46"/>
  <c r="K44"/>
  <c r="K43"/>
  <c r="K42"/>
  <c r="K41"/>
  <c r="K40"/>
  <c r="K39"/>
  <c r="F32"/>
  <c r="K38"/>
  <c r="K37"/>
  <c r="K36"/>
  <c r="K35"/>
  <c r="K34"/>
  <c r="L32"/>
  <c r="K33"/>
  <c r="J32"/>
  <c r="I32"/>
  <c r="H32"/>
  <c r="G32"/>
  <c r="E32"/>
  <c r="D32"/>
  <c r="C32"/>
  <c r="B32"/>
  <c r="K31"/>
  <c r="K30"/>
  <c r="K29"/>
  <c r="K28"/>
  <c r="K27"/>
  <c r="K26"/>
  <c r="K25"/>
  <c r="K24"/>
  <c r="K23"/>
  <c r="K22"/>
  <c r="K21"/>
  <c r="F19"/>
  <c r="J19"/>
  <c r="I19"/>
  <c r="H19"/>
  <c r="G19"/>
  <c r="E19"/>
  <c r="D19"/>
  <c r="C19"/>
  <c r="B19"/>
  <c r="K32" l="1"/>
  <c r="K19"/>
  <c r="L19"/>
  <c r="U49" i="45" l="1"/>
  <c r="BT51" i="1" l="1"/>
  <c r="BV51"/>
  <c r="BW51"/>
  <c r="R43" i="64"/>
  <c r="S43" s="1"/>
  <c r="O43"/>
  <c r="N43"/>
  <c r="M43"/>
  <c r="I43"/>
  <c r="F43"/>
  <c r="J43" i="60"/>
  <c r="E43"/>
  <c r="L42" i="61"/>
  <c r="F42"/>
  <c r="L53" i="3"/>
  <c r="BB36" i="57"/>
  <c r="AJ22"/>
  <c r="R28"/>
  <c r="I40"/>
  <c r="I52" i="51"/>
  <c r="J52" s="1"/>
  <c r="G52"/>
  <c r="G52" i="4"/>
  <c r="K53" i="3"/>
  <c r="J53"/>
  <c r="G53"/>
  <c r="D53"/>
  <c r="BH51" i="1"/>
  <c r="AZ51"/>
  <c r="AX51"/>
  <c r="AY51" s="1"/>
  <c r="AL51"/>
  <c r="AP51" s="1"/>
  <c r="AO51"/>
  <c r="AN51"/>
  <c r="AM51"/>
  <c r="AH51"/>
  <c r="AD51"/>
  <c r="W51"/>
  <c r="X51" s="1"/>
  <c r="S51"/>
  <c r="T51" s="1"/>
  <c r="N51"/>
  <c r="L51"/>
  <c r="F4" i="63"/>
  <c r="I4"/>
  <c r="H4"/>
  <c r="N53" i="3" l="1"/>
  <c r="O53" s="1"/>
  <c r="BC51" i="1"/>
  <c r="U49" i="6"/>
  <c r="V49" s="1"/>
  <c r="M49"/>
  <c r="N49" s="1"/>
  <c r="J49"/>
  <c r="G49"/>
  <c r="D49"/>
  <c r="I49" i="50"/>
  <c r="E49"/>
  <c r="BF46" i="59" l="1"/>
  <c r="G46"/>
  <c r="BF47" l="1"/>
  <c r="F47"/>
  <c r="G47"/>
  <c r="P49" i="5" l="1"/>
  <c r="R49" s="1"/>
  <c r="S49" s="1"/>
  <c r="O49"/>
  <c r="M49"/>
  <c r="L49"/>
  <c r="J49"/>
  <c r="I49"/>
  <c r="F49"/>
  <c r="E49"/>
  <c r="B49"/>
  <c r="M51" l="1"/>
  <c r="J51"/>
  <c r="F51"/>
  <c r="B51" l="1"/>
  <c r="E51"/>
  <c r="O51"/>
  <c r="L51"/>
  <c r="I51"/>
  <c r="K49" i="36"/>
  <c r="I49"/>
  <c r="F49"/>
  <c r="I49" i="35"/>
  <c r="K49" s="1"/>
  <c r="F49"/>
  <c r="AV50" i="1"/>
  <c r="P51" i="5" l="1"/>
  <c r="R51" s="1"/>
  <c r="S51" s="1"/>
  <c r="U48" i="45" l="1"/>
  <c r="BA50" i="1" l="1"/>
  <c r="J42" i="60" l="1"/>
  <c r="E42"/>
  <c r="L41" i="61"/>
  <c r="F41"/>
  <c r="G31" i="44" l="1"/>
  <c r="F31"/>
  <c r="E31"/>
  <c r="D31"/>
  <c r="C31"/>
  <c r="B31"/>
  <c r="AJ25" i="57" l="1"/>
  <c r="I14"/>
  <c r="R42" i="64"/>
  <c r="S42" s="1"/>
  <c r="O42"/>
  <c r="N42"/>
  <c r="M42"/>
  <c r="I42"/>
  <c r="F42"/>
  <c r="I51" i="51"/>
  <c r="J51" s="1"/>
  <c r="G51"/>
  <c r="G51" i="4"/>
  <c r="N52" i="3"/>
  <c r="O52" s="1"/>
  <c r="L52"/>
  <c r="K52"/>
  <c r="J52"/>
  <c r="G52"/>
  <c r="D52"/>
  <c r="BX50" i="1"/>
  <c r="BU50"/>
  <c r="BT50"/>
  <c r="BW50" s="1"/>
  <c r="BH50"/>
  <c r="BC50"/>
  <c r="AX50"/>
  <c r="AY50" s="1"/>
  <c r="AZ50" s="1"/>
  <c r="AL50"/>
  <c r="AP50" s="1"/>
  <c r="AO50"/>
  <c r="AN50"/>
  <c r="AM50"/>
  <c r="AH50"/>
  <c r="AD50"/>
  <c r="W50"/>
  <c r="X50" s="1"/>
  <c r="S50"/>
  <c r="T50" s="1"/>
  <c r="N50"/>
  <c r="L50"/>
  <c r="U48" i="6"/>
  <c r="V48" s="1"/>
  <c r="M48"/>
  <c r="N48" s="1"/>
  <c r="J48"/>
  <c r="G48"/>
  <c r="D48"/>
  <c r="BV50" i="1" l="1"/>
  <c r="H42" i="68"/>
  <c r="AI46"/>
  <c r="AA46"/>
  <c r="O46"/>
  <c r="G46"/>
  <c r="AI45"/>
  <c r="AA45"/>
  <c r="O45"/>
  <c r="G45"/>
  <c r="AI44"/>
  <c r="AA44"/>
  <c r="O44"/>
  <c r="P44" s="1"/>
  <c r="R44" s="1"/>
  <c r="G44"/>
  <c r="AI43"/>
  <c r="AA43"/>
  <c r="O43"/>
  <c r="G43"/>
  <c r="AK42"/>
  <c r="AH42"/>
  <c r="AG42"/>
  <c r="AF42"/>
  <c r="AE42"/>
  <c r="AD42"/>
  <c r="AC42"/>
  <c r="AB42"/>
  <c r="Z42"/>
  <c r="Y42"/>
  <c r="X42"/>
  <c r="AA42" s="1"/>
  <c r="W42"/>
  <c r="V42"/>
  <c r="Q42"/>
  <c r="N42"/>
  <c r="M42"/>
  <c r="L42"/>
  <c r="K42"/>
  <c r="J42"/>
  <c r="I42"/>
  <c r="F42"/>
  <c r="E42"/>
  <c r="D42"/>
  <c r="C42"/>
  <c r="G42" s="1"/>
  <c r="B42"/>
  <c r="AL41"/>
  <c r="AJ41"/>
  <c r="AI41"/>
  <c r="AA41"/>
  <c r="O41"/>
  <c r="G41"/>
  <c r="AL40"/>
  <c r="AJ40"/>
  <c r="AI40"/>
  <c r="AA40"/>
  <c r="O40"/>
  <c r="G40"/>
  <c r="AI39"/>
  <c r="AJ39" s="1"/>
  <c r="AL39" s="1"/>
  <c r="AA39"/>
  <c r="O39"/>
  <c r="P39" s="1"/>
  <c r="R39" s="1"/>
  <c r="G39"/>
  <c r="AI38"/>
  <c r="AJ38" s="1"/>
  <c r="AL38" s="1"/>
  <c r="AA38"/>
  <c r="O38"/>
  <c r="P38" s="1"/>
  <c r="R38" s="1"/>
  <c r="G38"/>
  <c r="AK37"/>
  <c r="AH37"/>
  <c r="AG37"/>
  <c r="AF37"/>
  <c r="AE37"/>
  <c r="AD37"/>
  <c r="AC37"/>
  <c r="AB37"/>
  <c r="Z37"/>
  <c r="Y37"/>
  <c r="X37"/>
  <c r="W37"/>
  <c r="V37"/>
  <c r="Q37"/>
  <c r="N37"/>
  <c r="O37" s="1"/>
  <c r="M37"/>
  <c r="L37"/>
  <c r="K37"/>
  <c r="J37"/>
  <c r="I37"/>
  <c r="H37"/>
  <c r="F37"/>
  <c r="G37" s="1"/>
  <c r="E37"/>
  <c r="D37"/>
  <c r="C37"/>
  <c r="B37"/>
  <c r="AI36"/>
  <c r="AJ36" s="1"/>
  <c r="AL36" s="1"/>
  <c r="AA36"/>
  <c r="P36"/>
  <c r="R36" s="1"/>
  <c r="O36"/>
  <c r="G36"/>
  <c r="AI35"/>
  <c r="AA35"/>
  <c r="O35"/>
  <c r="P35" s="1"/>
  <c r="R35" s="1"/>
  <c r="G35"/>
  <c r="AL34"/>
  <c r="AJ34"/>
  <c r="AI34"/>
  <c r="AA34"/>
  <c r="O34"/>
  <c r="P34" s="1"/>
  <c r="R34" s="1"/>
  <c r="G34"/>
  <c r="AI33"/>
  <c r="AJ33" s="1"/>
  <c r="AL33" s="1"/>
  <c r="AA33"/>
  <c r="P33"/>
  <c r="R33" s="1"/>
  <c r="O33"/>
  <c r="G33"/>
  <c r="AK32"/>
  <c r="AH32"/>
  <c r="AG32"/>
  <c r="AF32"/>
  <c r="AE32"/>
  <c r="AD32"/>
  <c r="AC32"/>
  <c r="AB32"/>
  <c r="Z32"/>
  <c r="Y32"/>
  <c r="X32"/>
  <c r="W32"/>
  <c r="V32"/>
  <c r="Q32"/>
  <c r="N32"/>
  <c r="M32"/>
  <c r="L32"/>
  <c r="K32"/>
  <c r="J32"/>
  <c r="I32"/>
  <c r="H32"/>
  <c r="F32"/>
  <c r="G32" s="1"/>
  <c r="E32"/>
  <c r="D32"/>
  <c r="C32"/>
  <c r="B32"/>
  <c r="AI31"/>
  <c r="AJ31" s="1"/>
  <c r="AL31" s="1"/>
  <c r="AA31"/>
  <c r="R31"/>
  <c r="P31"/>
  <c r="O31"/>
  <c r="G31"/>
  <c r="AI30"/>
  <c r="AJ30" s="1"/>
  <c r="AL30" s="1"/>
  <c r="AA30"/>
  <c r="P30"/>
  <c r="R30" s="1"/>
  <c r="O30"/>
  <c r="G30"/>
  <c r="AI29"/>
  <c r="AJ29" s="1"/>
  <c r="AL29" s="1"/>
  <c r="AA29"/>
  <c r="O29"/>
  <c r="P29" s="1"/>
  <c r="R29" s="1"/>
  <c r="G29"/>
  <c r="AI28"/>
  <c r="AJ28" s="1"/>
  <c r="AL28" s="1"/>
  <c r="AA28"/>
  <c r="O28"/>
  <c r="P28" s="1"/>
  <c r="R28" s="1"/>
  <c r="G28"/>
  <c r="AK27"/>
  <c r="AH27"/>
  <c r="AG27"/>
  <c r="AF27"/>
  <c r="AE27"/>
  <c r="AD27"/>
  <c r="AC27"/>
  <c r="AB27"/>
  <c r="AA27"/>
  <c r="Z27"/>
  <c r="Y27"/>
  <c r="X27"/>
  <c r="W27"/>
  <c r="V27"/>
  <c r="Q27"/>
  <c r="N27"/>
  <c r="M27"/>
  <c r="L27"/>
  <c r="K27"/>
  <c r="J27"/>
  <c r="I27"/>
  <c r="H27"/>
  <c r="F27"/>
  <c r="E27"/>
  <c r="D27"/>
  <c r="C27"/>
  <c r="G27" s="1"/>
  <c r="B27"/>
  <c r="AI26"/>
  <c r="AA26"/>
  <c r="AJ26" s="1"/>
  <c r="AL26" s="1"/>
  <c r="O26"/>
  <c r="G26"/>
  <c r="AJ25"/>
  <c r="AL25" s="1"/>
  <c r="AI25"/>
  <c r="AA25"/>
  <c r="R25"/>
  <c r="P25"/>
  <c r="O25"/>
  <c r="G25"/>
  <c r="AJ24"/>
  <c r="AL24" s="1"/>
  <c r="AI24"/>
  <c r="AA24"/>
  <c r="O24"/>
  <c r="P24" s="1"/>
  <c r="R24" s="1"/>
  <c r="G24"/>
  <c r="AI23"/>
  <c r="AJ23" s="1"/>
  <c r="AL23" s="1"/>
  <c r="AA23"/>
  <c r="P23"/>
  <c r="R23" s="1"/>
  <c r="O23"/>
  <c r="G23"/>
  <c r="AK22"/>
  <c r="AH22"/>
  <c r="AG22"/>
  <c r="AF22"/>
  <c r="AE22"/>
  <c r="AD22"/>
  <c r="AC22"/>
  <c r="AB22"/>
  <c r="Z22"/>
  <c r="Y22"/>
  <c r="AA22" s="1"/>
  <c r="X22"/>
  <c r="W22"/>
  <c r="V22"/>
  <c r="Q22"/>
  <c r="N22"/>
  <c r="M22"/>
  <c r="L22"/>
  <c r="K22"/>
  <c r="J22"/>
  <c r="I22"/>
  <c r="H22"/>
  <c r="F22"/>
  <c r="E22"/>
  <c r="D22"/>
  <c r="C22"/>
  <c r="B22"/>
  <c r="AI21"/>
  <c r="AJ21" s="1"/>
  <c r="AL21" s="1"/>
  <c r="AA21"/>
  <c r="O21"/>
  <c r="P21" s="1"/>
  <c r="R21" s="1"/>
  <c r="G21"/>
  <c r="AI20"/>
  <c r="AJ20" s="1"/>
  <c r="AL20" s="1"/>
  <c r="AA20"/>
  <c r="O20"/>
  <c r="P20" s="1"/>
  <c r="R20" s="1"/>
  <c r="G20"/>
  <c r="AI19"/>
  <c r="AA19"/>
  <c r="AJ19" s="1"/>
  <c r="AL19" s="1"/>
  <c r="O19"/>
  <c r="G19"/>
  <c r="AL18"/>
  <c r="AJ18"/>
  <c r="AI18"/>
  <c r="AA18"/>
  <c r="O18"/>
  <c r="P18" s="1"/>
  <c r="R18" s="1"/>
  <c r="G18"/>
  <c r="AK17"/>
  <c r="AH17"/>
  <c r="AI17" s="1"/>
  <c r="AG17"/>
  <c r="AF17"/>
  <c r="AE17"/>
  <c r="AD17"/>
  <c r="AC17"/>
  <c r="AB17"/>
  <c r="Z17"/>
  <c r="Y17"/>
  <c r="X17"/>
  <c r="W17"/>
  <c r="V17"/>
  <c r="Q17"/>
  <c r="N17"/>
  <c r="M17"/>
  <c r="L17"/>
  <c r="O17" s="1"/>
  <c r="P17" s="1"/>
  <c r="R17" s="1"/>
  <c r="K17"/>
  <c r="J17"/>
  <c r="I17"/>
  <c r="H17"/>
  <c r="F17"/>
  <c r="E17"/>
  <c r="D17"/>
  <c r="C17"/>
  <c r="G17" s="1"/>
  <c r="B17"/>
  <c r="AI16"/>
  <c r="AJ16" s="1"/>
  <c r="AL16" s="1"/>
  <c r="AA16"/>
  <c r="P16"/>
  <c r="R16" s="1"/>
  <c r="O16"/>
  <c r="G16"/>
  <c r="AJ15"/>
  <c r="AL15" s="1"/>
  <c r="AI15"/>
  <c r="AA15"/>
  <c r="P15"/>
  <c r="R15" s="1"/>
  <c r="O15"/>
  <c r="G15"/>
  <c r="AI14"/>
  <c r="AJ14" s="1"/>
  <c r="AL14" s="1"/>
  <c r="AA14"/>
  <c r="P14"/>
  <c r="R14" s="1"/>
  <c r="O14"/>
  <c r="G14"/>
  <c r="AL13"/>
  <c r="AJ13"/>
  <c r="AI13"/>
  <c r="AA13"/>
  <c r="O13"/>
  <c r="P13" s="1"/>
  <c r="R13" s="1"/>
  <c r="G13"/>
  <c r="AK12"/>
  <c r="AH12"/>
  <c r="AG12"/>
  <c r="AF12"/>
  <c r="AE12"/>
  <c r="AD12"/>
  <c r="AC12"/>
  <c r="AB12"/>
  <c r="Z12"/>
  <c r="Y12"/>
  <c r="X12"/>
  <c r="W12"/>
  <c r="V12"/>
  <c r="Q12"/>
  <c r="N12"/>
  <c r="O12" s="1"/>
  <c r="M12"/>
  <c r="L12"/>
  <c r="K12"/>
  <c r="J12"/>
  <c r="I12"/>
  <c r="H12"/>
  <c r="F12"/>
  <c r="E12"/>
  <c r="D12"/>
  <c r="C12"/>
  <c r="B12"/>
  <c r="AI11"/>
  <c r="AA11"/>
  <c r="O11"/>
  <c r="G11"/>
  <c r="P11" s="1"/>
  <c r="R11" s="1"/>
  <c r="AI10"/>
  <c r="AA10"/>
  <c r="O10"/>
  <c r="G10"/>
  <c r="P10" s="1"/>
  <c r="R10" s="1"/>
  <c r="AI9"/>
  <c r="AA9"/>
  <c r="R9"/>
  <c r="P9"/>
  <c r="O9"/>
  <c r="G9"/>
  <c r="AI8"/>
  <c r="AA8"/>
  <c r="AJ8" s="1"/>
  <c r="AL8" s="1"/>
  <c r="R8"/>
  <c r="P8"/>
  <c r="O8"/>
  <c r="G8"/>
  <c r="AK7"/>
  <c r="AH7"/>
  <c r="AG7"/>
  <c r="AF7"/>
  <c r="AE7"/>
  <c r="AD7"/>
  <c r="AC7"/>
  <c r="AB7"/>
  <c r="AI7" s="1"/>
  <c r="Z7"/>
  <c r="Y7"/>
  <c r="X7"/>
  <c r="W7"/>
  <c r="AA7" s="1"/>
  <c r="V7"/>
  <c r="Q7"/>
  <c r="N7"/>
  <c r="M7"/>
  <c r="L7"/>
  <c r="K7"/>
  <c r="J7"/>
  <c r="I7"/>
  <c r="H7"/>
  <c r="F7"/>
  <c r="E7"/>
  <c r="D7"/>
  <c r="C7"/>
  <c r="B7"/>
  <c r="AJ44" l="1"/>
  <c r="AL44" s="1"/>
  <c r="AI42"/>
  <c r="AJ42" s="1"/>
  <c r="AL42" s="1"/>
  <c r="AJ45"/>
  <c r="AL45" s="1"/>
  <c r="AJ43"/>
  <c r="AL43" s="1"/>
  <c r="AJ46"/>
  <c r="AL46" s="1"/>
  <c r="P46"/>
  <c r="R46" s="1"/>
  <c r="P43"/>
  <c r="R43" s="1"/>
  <c r="O42"/>
  <c r="P42" s="1"/>
  <c r="R42" s="1"/>
  <c r="P45"/>
  <c r="R45" s="1"/>
  <c r="AJ10"/>
  <c r="AL10" s="1"/>
  <c r="AI37"/>
  <c r="G12"/>
  <c r="P12" s="1"/>
  <c r="R12" s="1"/>
  <c r="P19"/>
  <c r="R19" s="1"/>
  <c r="P26"/>
  <c r="R26" s="1"/>
  <c r="AI32"/>
  <c r="AJ9"/>
  <c r="AL9" s="1"/>
  <c r="O7"/>
  <c r="AA17"/>
  <c r="O27"/>
  <c r="P27" s="1"/>
  <c r="R27" s="1"/>
  <c r="G7"/>
  <c r="AA37"/>
  <c r="O22"/>
  <c r="P22" s="1"/>
  <c r="R22" s="1"/>
  <c r="AJ11"/>
  <c r="AL11" s="1"/>
  <c r="AA12"/>
  <c r="AI27"/>
  <c r="AJ27" s="1"/>
  <c r="AL27" s="1"/>
  <c r="AI22"/>
  <c r="AJ22" s="1"/>
  <c r="AL22" s="1"/>
  <c r="AA32"/>
  <c r="P41"/>
  <c r="R41" s="1"/>
  <c r="P37"/>
  <c r="R37" s="1"/>
  <c r="AJ7"/>
  <c r="AL7" s="1"/>
  <c r="AI12"/>
  <c r="O32"/>
  <c r="P32" s="1"/>
  <c r="R32" s="1"/>
  <c r="G22"/>
  <c r="AJ35"/>
  <c r="AL35" s="1"/>
  <c r="P40"/>
  <c r="R40" s="1"/>
  <c r="AJ17"/>
  <c r="AL17" s="1"/>
  <c r="AJ12"/>
  <c r="AL12" s="1"/>
  <c r="AJ37"/>
  <c r="AL37" s="1"/>
  <c r="AJ32"/>
  <c r="AL32" s="1"/>
  <c r="P7" l="1"/>
  <c r="R7" s="1"/>
  <c r="U47" i="6" l="1"/>
  <c r="M47"/>
  <c r="J47"/>
  <c r="G47"/>
  <c r="D47"/>
  <c r="M50" i="5"/>
  <c r="O50" s="1"/>
  <c r="J50"/>
  <c r="L50" s="1"/>
  <c r="F50"/>
  <c r="I50" s="1"/>
  <c r="E50"/>
  <c r="B50"/>
  <c r="K48" i="36"/>
  <c r="I48"/>
  <c r="F48"/>
  <c r="I48" i="35"/>
  <c r="K48" s="1"/>
  <c r="F48"/>
  <c r="N47" i="6" l="1"/>
  <c r="V47" s="1"/>
  <c r="P50" i="5"/>
  <c r="R50" s="1"/>
  <c r="S50" s="1"/>
  <c r="BA49" i="1"/>
  <c r="AV49"/>
  <c r="U47" i="45"/>
  <c r="J41" i="60" l="1"/>
  <c r="E41"/>
  <c r="L40" i="61"/>
  <c r="F40"/>
  <c r="CB49" i="1"/>
  <c r="R40" i="64"/>
  <c r="S40"/>
  <c r="S39"/>
  <c r="N38"/>
  <c r="I50" i="51"/>
  <c r="J50" s="1"/>
  <c r="G50"/>
  <c r="G50" i="4"/>
  <c r="K51" i="3"/>
  <c r="J51"/>
  <c r="G51"/>
  <c r="L51" s="1"/>
  <c r="N51" s="1"/>
  <c r="O51" s="1"/>
  <c r="D51"/>
  <c r="CE49" i="1"/>
  <c r="BX49"/>
  <c r="BU48"/>
  <c r="BU49"/>
  <c r="BT49"/>
  <c r="BW49" s="1"/>
  <c r="BH49"/>
  <c r="BC49"/>
  <c r="AX49"/>
  <c r="AY49" s="1"/>
  <c r="AL49"/>
  <c r="AP49" s="1"/>
  <c r="AO49"/>
  <c r="AN49"/>
  <c r="AM49"/>
  <c r="AH49"/>
  <c r="AD49"/>
  <c r="W49"/>
  <c r="X49" s="1"/>
  <c r="S49"/>
  <c r="T49" s="1"/>
  <c r="N49"/>
  <c r="L49"/>
  <c r="BV49" l="1"/>
  <c r="AZ49"/>
  <c r="R41" i="64"/>
  <c r="O41"/>
  <c r="N41"/>
  <c r="M41"/>
  <c r="I41"/>
  <c r="F41"/>
  <c r="K37" i="3"/>
  <c r="BF45" i="59"/>
  <c r="F45"/>
  <c r="G45"/>
  <c r="AN48" i="7"/>
  <c r="AO48" l="1"/>
  <c r="BA48" i="1" l="1"/>
  <c r="AV48"/>
  <c r="I46" i="36"/>
  <c r="K47"/>
  <c r="I47"/>
  <c r="F47"/>
  <c r="K47" i="35"/>
  <c r="I47"/>
  <c r="F47"/>
  <c r="J46"/>
  <c r="J40" i="60"/>
  <c r="E40"/>
  <c r="L37" i="61"/>
  <c r="L38"/>
  <c r="L39"/>
  <c r="F39"/>
  <c r="BT48" i="1"/>
  <c r="BV48"/>
  <c r="CE48"/>
  <c r="CB48"/>
  <c r="U46" i="45"/>
  <c r="AP46" i="1" l="1"/>
  <c r="N40" i="64"/>
  <c r="M40"/>
  <c r="I40"/>
  <c r="F40"/>
  <c r="I49" i="51"/>
  <c r="J49" s="1"/>
  <c r="G49"/>
  <c r="G49" i="4"/>
  <c r="K50" i="3"/>
  <c r="L50" s="1"/>
  <c r="N50" s="1"/>
  <c r="J50"/>
  <c r="G50"/>
  <c r="D50"/>
  <c r="BW48" i="1"/>
  <c r="BX48"/>
  <c r="BH48"/>
  <c r="AX48"/>
  <c r="AY48" s="1"/>
  <c r="AL48"/>
  <c r="AP48" s="1"/>
  <c r="AO48"/>
  <c r="AN48"/>
  <c r="AM48"/>
  <c r="AH48"/>
  <c r="AD48"/>
  <c r="W48"/>
  <c r="X48" s="1"/>
  <c r="S48"/>
  <c r="T48" s="1"/>
  <c r="N48"/>
  <c r="L48"/>
  <c r="O50" i="3" l="1"/>
  <c r="AZ48" i="1"/>
  <c r="O40" i="64"/>
  <c r="BC48" i="1"/>
  <c r="U46" i="6"/>
  <c r="V46" s="1"/>
  <c r="M46"/>
  <c r="N46" s="1"/>
  <c r="J46"/>
  <c r="G46"/>
  <c r="D46"/>
  <c r="I43" i="50" l="1"/>
  <c r="C43"/>
  <c r="B43"/>
  <c r="H43"/>
  <c r="G43"/>
  <c r="F43"/>
  <c r="E43"/>
  <c r="D43"/>
  <c r="I47"/>
  <c r="E47"/>
  <c r="AN47" i="7" l="1"/>
  <c r="AO47" s="1"/>
  <c r="BF44" i="59" l="1"/>
  <c r="BF43"/>
  <c r="F44"/>
  <c r="G44"/>
  <c r="BA47" i="1" l="1"/>
  <c r="B48" i="5" l="1"/>
  <c r="E48" s="1"/>
  <c r="M48"/>
  <c r="J48"/>
  <c r="L48" s="1"/>
  <c r="F48"/>
  <c r="F46" i="36"/>
  <c r="I46" i="35"/>
  <c r="F46"/>
  <c r="K46" s="1"/>
  <c r="AV47" i="1"/>
  <c r="AX47" s="1"/>
  <c r="AY47" s="1"/>
  <c r="J39" i="60"/>
  <c r="E39"/>
  <c r="S36" i="64"/>
  <c r="N39"/>
  <c r="M39"/>
  <c r="I39"/>
  <c r="F39"/>
  <c r="O48" i="5"/>
  <c r="I48"/>
  <c r="U42" i="6"/>
  <c r="U41"/>
  <c r="U43"/>
  <c r="M41"/>
  <c r="M42"/>
  <c r="M43"/>
  <c r="J41"/>
  <c r="J42"/>
  <c r="J43"/>
  <c r="G41"/>
  <c r="G42"/>
  <c r="G43"/>
  <c r="D41"/>
  <c r="D42"/>
  <c r="D43"/>
  <c r="U40"/>
  <c r="M40"/>
  <c r="J40"/>
  <c r="G40"/>
  <c r="D40"/>
  <c r="T39"/>
  <c r="S39"/>
  <c r="R39"/>
  <c r="Q39"/>
  <c r="P39"/>
  <c r="L39"/>
  <c r="K39"/>
  <c r="I39"/>
  <c r="H39"/>
  <c r="F39"/>
  <c r="E39"/>
  <c r="C39"/>
  <c r="B39"/>
  <c r="F38" i="61"/>
  <c r="I48" i="51"/>
  <c r="J48" s="1"/>
  <c r="G48"/>
  <c r="G48" i="4"/>
  <c r="K49" i="3"/>
  <c r="L49" s="1"/>
  <c r="N49" s="1"/>
  <c r="O49" s="1"/>
  <c r="J49"/>
  <c r="G49"/>
  <c r="D49"/>
  <c r="CE47" i="1"/>
  <c r="CB47"/>
  <c r="BX47"/>
  <c r="BT47"/>
  <c r="BW47" s="1"/>
  <c r="BH47"/>
  <c r="BC47"/>
  <c r="AL47"/>
  <c r="AP47" s="1"/>
  <c r="AO47"/>
  <c r="AN47"/>
  <c r="AM47"/>
  <c r="AH47"/>
  <c r="AD47"/>
  <c r="W47"/>
  <c r="X47" s="1"/>
  <c r="S47"/>
  <c r="T47" s="1"/>
  <c r="N47"/>
  <c r="L47"/>
  <c r="U45" i="45"/>
  <c r="M39" i="6" l="1"/>
  <c r="N40"/>
  <c r="V40" s="1"/>
  <c r="P48" i="5"/>
  <c r="R48" s="1"/>
  <c r="S48" s="1"/>
  <c r="K46" i="36"/>
  <c r="BU47" i="1"/>
  <c r="AZ47"/>
  <c r="O39" i="64"/>
  <c r="R39" s="1"/>
  <c r="N43" i="6"/>
  <c r="V43" s="1"/>
  <c r="N42"/>
  <c r="V42" s="1"/>
  <c r="N41"/>
  <c r="V41" s="1"/>
  <c r="U39"/>
  <c r="J39"/>
  <c r="G39"/>
  <c r="D39"/>
  <c r="BV47" i="1"/>
  <c r="B33" i="5"/>
  <c r="S33"/>
  <c r="R33"/>
  <c r="Q33"/>
  <c r="P33"/>
  <c r="O33"/>
  <c r="N33"/>
  <c r="M33"/>
  <c r="L33"/>
  <c r="K33"/>
  <c r="J33"/>
  <c r="I33"/>
  <c r="H33"/>
  <c r="G33"/>
  <c r="F33"/>
  <c r="E33"/>
  <c r="D33"/>
  <c r="C33"/>
  <c r="U45" i="6"/>
  <c r="M45"/>
  <c r="J45"/>
  <c r="G45"/>
  <c r="D45"/>
  <c r="W39" i="27"/>
  <c r="AN46" i="7"/>
  <c r="V39" i="6" l="1"/>
  <c r="N39"/>
  <c r="N45"/>
  <c r="V45" s="1"/>
  <c r="AO46" i="7"/>
  <c r="BA46" i="1" l="1"/>
  <c r="BL29" i="59" l="1"/>
  <c r="G43"/>
  <c r="F43"/>
  <c r="BS29"/>
  <c r="BR29"/>
  <c r="BQ29"/>
  <c r="BP29"/>
  <c r="BO29"/>
  <c r="BN29"/>
  <c r="BM29"/>
  <c r="BK29"/>
  <c r="BJ29"/>
  <c r="BI29"/>
  <c r="BH29"/>
  <c r="BG29"/>
  <c r="BF29"/>
  <c r="BE29"/>
  <c r="BD29"/>
  <c r="BC29"/>
  <c r="BB29"/>
  <c r="BA29"/>
  <c r="AZ29"/>
  <c r="AY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M47" i="5"/>
  <c r="O47" s="1"/>
  <c r="J47"/>
  <c r="L47" s="1"/>
  <c r="F47"/>
  <c r="I47" s="1"/>
  <c r="E47"/>
  <c r="B47"/>
  <c r="AV46" i="1"/>
  <c r="BH44"/>
  <c r="K45" i="36"/>
  <c r="I45"/>
  <c r="F45"/>
  <c r="K45" i="35"/>
  <c r="I45"/>
  <c r="F45"/>
  <c r="I47" i="51"/>
  <c r="J47" s="1"/>
  <c r="G47"/>
  <c r="G47" i="4"/>
  <c r="K48" i="3"/>
  <c r="K46"/>
  <c r="J48"/>
  <c r="G48"/>
  <c r="D48"/>
  <c r="CE46" i="1"/>
  <c r="CB46"/>
  <c r="BX46"/>
  <c r="BW46"/>
  <c r="BV46"/>
  <c r="BU46"/>
  <c r="BT46"/>
  <c r="BH46"/>
  <c r="BC46"/>
  <c r="AZ46"/>
  <c r="AY46"/>
  <c r="AX46"/>
  <c r="AV44"/>
  <c r="AM44"/>
  <c r="AM46"/>
  <c r="AL46"/>
  <c r="AO46"/>
  <c r="AN46"/>
  <c r="AH46"/>
  <c r="AH44"/>
  <c r="AD46"/>
  <c r="X46"/>
  <c r="W46"/>
  <c r="T46"/>
  <c r="S44"/>
  <c r="S46"/>
  <c r="N46"/>
  <c r="N44"/>
  <c r="L46"/>
  <c r="L44"/>
  <c r="U44" i="45"/>
  <c r="U43"/>
  <c r="P47" i="5" l="1"/>
  <c r="R47" s="1"/>
  <c r="S47" s="1"/>
  <c r="L48" i="3"/>
  <c r="E36" i="60"/>
  <c r="J36"/>
  <c r="E38"/>
  <c r="J38"/>
  <c r="F37" i="61"/>
  <c r="S14" i="64"/>
  <c r="S15" s="1"/>
  <c r="S16" s="1"/>
  <c r="S17" s="1"/>
  <c r="S18" s="1"/>
  <c r="S19" s="1"/>
  <c r="S20" s="1"/>
  <c r="S21" s="1"/>
  <c r="S22" s="1"/>
  <c r="S23" s="1"/>
  <c r="S25" s="1"/>
  <c r="S13"/>
  <c r="O48" i="3" l="1"/>
  <c r="N48"/>
  <c r="S26" i="64"/>
  <c r="S27" s="1"/>
  <c r="S28" s="1"/>
  <c r="S29" s="1"/>
  <c r="S30" s="1"/>
  <c r="S31" s="1"/>
  <c r="S32" s="1"/>
  <c r="S33" s="1"/>
  <c r="S34" s="1"/>
  <c r="S35" s="1"/>
  <c r="S24" s="1"/>
  <c r="M38" l="1"/>
  <c r="I38"/>
  <c r="F38"/>
  <c r="O38" l="1"/>
  <c r="R38" s="1"/>
  <c r="S38" s="1"/>
  <c r="S41" s="1"/>
  <c r="AL32" i="7" l="1"/>
  <c r="AK32"/>
  <c r="AJ32"/>
  <c r="AI32"/>
  <c r="AH32"/>
  <c r="AG32"/>
  <c r="AF32"/>
  <c r="AE32"/>
  <c r="AD32"/>
  <c r="AC32"/>
  <c r="AB32"/>
  <c r="AA32"/>
  <c r="Z32"/>
  <c r="Y32"/>
  <c r="X32"/>
  <c r="W32"/>
  <c r="T32"/>
  <c r="S32"/>
  <c r="R32"/>
  <c r="Q32"/>
  <c r="P32"/>
  <c r="N32"/>
  <c r="M32"/>
  <c r="BA44" i="1"/>
  <c r="AN44" i="7" l="1"/>
  <c r="AO44" s="1"/>
  <c r="M45" i="5" l="1"/>
  <c r="O45" s="1"/>
  <c r="J45"/>
  <c r="L45" s="1"/>
  <c r="F45"/>
  <c r="I45" s="1"/>
  <c r="E45"/>
  <c r="B45"/>
  <c r="J31" i="36"/>
  <c r="H31"/>
  <c r="G31"/>
  <c r="F31"/>
  <c r="E31"/>
  <c r="D31"/>
  <c r="C31"/>
  <c r="B31"/>
  <c r="I43"/>
  <c r="I31" s="1"/>
  <c r="F43"/>
  <c r="K43" s="1"/>
  <c r="J31" i="35"/>
  <c r="H31"/>
  <c r="G31"/>
  <c r="E31"/>
  <c r="D31"/>
  <c r="C31"/>
  <c r="B31"/>
  <c r="I43"/>
  <c r="I31" s="1"/>
  <c r="F43"/>
  <c r="F31" s="1"/>
  <c r="AV43" i="1"/>
  <c r="K43" i="35" l="1"/>
  <c r="K31" s="1"/>
  <c r="K31" i="36"/>
  <c r="P45" i="5"/>
  <c r="R45" s="1"/>
  <c r="S45" s="1"/>
  <c r="F33" i="51"/>
  <c r="L35" i="61"/>
  <c r="L23" s="1"/>
  <c r="F35"/>
  <c r="F23" s="1"/>
  <c r="S23"/>
  <c r="R23"/>
  <c r="Q23"/>
  <c r="P23"/>
  <c r="O23"/>
  <c r="N23"/>
  <c r="M23"/>
  <c r="K23"/>
  <c r="J23"/>
  <c r="I23"/>
  <c r="H23"/>
  <c r="G23"/>
  <c r="E23"/>
  <c r="D23"/>
  <c r="C23"/>
  <c r="B23"/>
  <c r="J24" i="60"/>
  <c r="Q24"/>
  <c r="P24"/>
  <c r="O24"/>
  <c r="N24"/>
  <c r="M24"/>
  <c r="L24"/>
  <c r="K24"/>
  <c r="I24"/>
  <c r="H24"/>
  <c r="G24"/>
  <c r="F24"/>
  <c r="E24"/>
  <c r="D24"/>
  <c r="C24"/>
  <c r="B24"/>
  <c r="N36" i="64"/>
  <c r="M36"/>
  <c r="I36"/>
  <c r="F36"/>
  <c r="Q24"/>
  <c r="P24"/>
  <c r="L24"/>
  <c r="K24"/>
  <c r="J24"/>
  <c r="H24"/>
  <c r="G24"/>
  <c r="E24"/>
  <c r="D24"/>
  <c r="C24"/>
  <c r="B24"/>
  <c r="K33" i="3"/>
  <c r="G45" i="51"/>
  <c r="G33" s="1"/>
  <c r="H33"/>
  <c r="E33"/>
  <c r="D33"/>
  <c r="C33"/>
  <c r="B33"/>
  <c r="G45" i="4"/>
  <c r="G33" s="1"/>
  <c r="F33"/>
  <c r="E33"/>
  <c r="D33"/>
  <c r="C33"/>
  <c r="B33"/>
  <c r="K34" i="3"/>
  <c r="J46"/>
  <c r="J34" s="1"/>
  <c r="G46"/>
  <c r="G34" s="1"/>
  <c r="D46"/>
  <c r="D34" s="1"/>
  <c r="C34"/>
  <c r="E34"/>
  <c r="F34"/>
  <c r="H34"/>
  <c r="I34"/>
  <c r="M34"/>
  <c r="B34"/>
  <c r="BK32" i="1"/>
  <c r="BL32"/>
  <c r="BM32"/>
  <c r="BN32"/>
  <c r="BP32"/>
  <c r="BQ32"/>
  <c r="BR32"/>
  <c r="BS32"/>
  <c r="BY32"/>
  <c r="BZ32"/>
  <c r="CA32"/>
  <c r="CC32"/>
  <c r="CD32"/>
  <c r="BJ32"/>
  <c r="AS32"/>
  <c r="AT32"/>
  <c r="AU32"/>
  <c r="AV32"/>
  <c r="AW32"/>
  <c r="BA32"/>
  <c r="BB32"/>
  <c r="BD32"/>
  <c r="BE32"/>
  <c r="BF32"/>
  <c r="BG32"/>
  <c r="AR32"/>
  <c r="AB32"/>
  <c r="AC32"/>
  <c r="AE32"/>
  <c r="AF32"/>
  <c r="AG32"/>
  <c r="AI32"/>
  <c r="AJ32"/>
  <c r="AK32"/>
  <c r="AA32"/>
  <c r="M32"/>
  <c r="O32"/>
  <c r="P32"/>
  <c r="Q32"/>
  <c r="R32"/>
  <c r="U32"/>
  <c r="V32"/>
  <c r="Y32"/>
  <c r="K32"/>
  <c r="J32"/>
  <c r="CE44"/>
  <c r="CE32" s="1"/>
  <c r="CB44"/>
  <c r="CB32" s="1"/>
  <c r="BX44"/>
  <c r="BX32" s="1"/>
  <c r="BT44"/>
  <c r="BT32" s="1"/>
  <c r="BH32"/>
  <c r="AX44"/>
  <c r="AY44" s="1"/>
  <c r="AZ44" s="1"/>
  <c r="AZ32" s="1"/>
  <c r="AL44"/>
  <c r="AO44"/>
  <c r="AO32" s="1"/>
  <c r="AN44"/>
  <c r="AN32" s="1"/>
  <c r="AM32"/>
  <c r="AH32"/>
  <c r="AD44"/>
  <c r="AD32" s="1"/>
  <c r="T44"/>
  <c r="T32" s="1"/>
  <c r="BC44"/>
  <c r="BC32" s="1"/>
  <c r="I46" i="50"/>
  <c r="E46"/>
  <c r="O32" i="2"/>
  <c r="BW32" i="58"/>
  <c r="BU32"/>
  <c r="BS32"/>
  <c r="BQ32"/>
  <c r="BO32"/>
  <c r="BM32"/>
  <c r="BK32"/>
  <c r="BH32"/>
  <c r="BF32"/>
  <c r="BD32"/>
  <c r="BB32"/>
  <c r="AZ32"/>
  <c r="AX32"/>
  <c r="AV32"/>
  <c r="AS32"/>
  <c r="AQ32"/>
  <c r="AO32"/>
  <c r="AM32"/>
  <c r="AK32"/>
  <c r="AI32"/>
  <c r="AG32"/>
  <c r="AD32"/>
  <c r="AB32"/>
  <c r="Z32"/>
  <c r="X32"/>
  <c r="V32"/>
  <c r="T32"/>
  <c r="R32"/>
  <c r="O32"/>
  <c r="M32"/>
  <c r="K32"/>
  <c r="I32"/>
  <c r="G32"/>
  <c r="E32"/>
  <c r="C32"/>
  <c r="B29" i="45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J32" i="2"/>
  <c r="B29" i="28"/>
  <c r="D29"/>
  <c r="C29"/>
  <c r="I45" i="51" l="1"/>
  <c r="I33" s="1"/>
  <c r="BV44" i="1"/>
  <c r="BV32" s="1"/>
  <c r="AX32"/>
  <c r="L32"/>
  <c r="S32"/>
  <c r="AP44"/>
  <c r="AL32"/>
  <c r="U29" i="45"/>
  <c r="AY32" i="1"/>
  <c r="O36" i="64"/>
  <c r="R36" s="1"/>
  <c r="L46" i="3"/>
  <c r="N46" s="1"/>
  <c r="O46" s="1"/>
  <c r="M32" i="2"/>
  <c r="L32"/>
  <c r="D32"/>
  <c r="B32"/>
  <c r="BT43" i="1"/>
  <c r="BV43" s="1"/>
  <c r="BX43"/>
  <c r="CB43"/>
  <c r="BA43"/>
  <c r="M44" i="5"/>
  <c r="O44" s="1"/>
  <c r="J44"/>
  <c r="L44" s="1"/>
  <c r="F44"/>
  <c r="I44" s="1"/>
  <c r="B44"/>
  <c r="E44" s="1"/>
  <c r="L34" i="61"/>
  <c r="F34"/>
  <c r="J35" i="60"/>
  <c r="E35"/>
  <c r="O35" i="64"/>
  <c r="N35"/>
  <c r="M35"/>
  <c r="I35"/>
  <c r="F35"/>
  <c r="AN43" i="7" l="1"/>
  <c r="AO43" s="1"/>
  <c r="J45" i="51"/>
  <c r="J33" s="1"/>
  <c r="N32" i="1"/>
  <c r="W44"/>
  <c r="BW44"/>
  <c r="BW32" s="1"/>
  <c r="BU44"/>
  <c r="BU32" s="1"/>
  <c r="AP32"/>
  <c r="R35" i="64"/>
  <c r="L34" i="3"/>
  <c r="P44" i="5"/>
  <c r="R44" s="1"/>
  <c r="S44" s="1"/>
  <c r="U41" i="45"/>
  <c r="X44" i="1" l="1"/>
  <c r="X32" s="1"/>
  <c r="W32"/>
  <c r="N34" i="3"/>
  <c r="O34"/>
  <c r="K42" i="36"/>
  <c r="I42"/>
  <c r="F42"/>
  <c r="I42" i="35"/>
  <c r="F42"/>
  <c r="K42" l="1"/>
  <c r="K45" i="3"/>
  <c r="K44"/>
  <c r="G44" i="51"/>
  <c r="I44" s="1"/>
  <c r="J44" s="1"/>
  <c r="G44" i="4"/>
  <c r="J45" i="3"/>
  <c r="G45"/>
  <c r="D45"/>
  <c r="CE43" i="1"/>
  <c r="BH43"/>
  <c r="AX43"/>
  <c r="AY43" s="1"/>
  <c r="AZ43" s="1"/>
  <c r="AL43"/>
  <c r="AO43"/>
  <c r="AN43"/>
  <c r="AM43"/>
  <c r="AH43"/>
  <c r="AD43"/>
  <c r="W43"/>
  <c r="X43" s="1"/>
  <c r="S43"/>
  <c r="T43" s="1"/>
  <c r="N43"/>
  <c r="L43"/>
  <c r="BC43" s="1"/>
  <c r="H32" i="66"/>
  <c r="G32"/>
  <c r="F32"/>
  <c r="E32"/>
  <c r="D32"/>
  <c r="C32"/>
  <c r="B32"/>
  <c r="H19"/>
  <c r="G19"/>
  <c r="F19"/>
  <c r="E19"/>
  <c r="D19"/>
  <c r="C19"/>
  <c r="B19"/>
  <c r="L45" i="3" l="1"/>
  <c r="N45" s="1"/>
  <c r="O45" s="1"/>
  <c r="AP43" i="1"/>
  <c r="BS16" i="59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BW43" i="1" l="1"/>
  <c r="BU43"/>
  <c r="AM18" i="43"/>
  <c r="AL18"/>
  <c r="AK18"/>
  <c r="AJ18"/>
  <c r="AI18"/>
  <c r="AH18"/>
  <c r="AG18"/>
  <c r="AF18"/>
  <c r="AE18"/>
  <c r="AD18"/>
  <c r="AC18"/>
  <c r="AB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E18"/>
  <c r="D18"/>
  <c r="C18"/>
  <c r="B18"/>
  <c r="D16" i="28"/>
  <c r="C16"/>
  <c r="B16"/>
  <c r="AN42" i="7" l="1"/>
  <c r="AO42" l="1"/>
  <c r="U40" i="45" l="1"/>
  <c r="J34" i="60" l="1"/>
  <c r="E34"/>
  <c r="F33" i="61"/>
  <c r="L33"/>
  <c r="N34" i="64"/>
  <c r="M34"/>
  <c r="I34"/>
  <c r="F34"/>
  <c r="B43" i="5"/>
  <c r="E43" s="1"/>
  <c r="M43"/>
  <c r="O43" s="1"/>
  <c r="J43"/>
  <c r="L43" s="1"/>
  <c r="I43"/>
  <c r="F43"/>
  <c r="I41" i="36"/>
  <c r="F41"/>
  <c r="K41" s="1"/>
  <c r="I41" i="35"/>
  <c r="F41"/>
  <c r="BA42" i="1"/>
  <c r="BC42" s="1"/>
  <c r="G43" i="51"/>
  <c r="I43" s="1"/>
  <c r="J43" s="1"/>
  <c r="G43" i="4"/>
  <c r="J44" i="3"/>
  <c r="L44" s="1"/>
  <c r="N44" s="1"/>
  <c r="O44" s="1"/>
  <c r="G44"/>
  <c r="D44"/>
  <c r="CE42" i="1"/>
  <c r="CB42"/>
  <c r="BT42"/>
  <c r="BH42"/>
  <c r="AV42"/>
  <c r="AX42" s="1"/>
  <c r="AY42" s="1"/>
  <c r="AL42"/>
  <c r="AO42"/>
  <c r="AN42"/>
  <c r="AM42"/>
  <c r="AH42"/>
  <c r="AD42"/>
  <c r="S42"/>
  <c r="T42" s="1"/>
  <c r="N42"/>
  <c r="W42" s="1"/>
  <c r="X42" s="1"/>
  <c r="L42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K41" i="35" l="1"/>
  <c r="AP42" i="1"/>
  <c r="BU42" s="1"/>
  <c r="BV42"/>
  <c r="AZ42"/>
  <c r="BX42"/>
  <c r="O34" i="64"/>
  <c r="R34" s="1"/>
  <c r="P43" i="5"/>
  <c r="R43" s="1"/>
  <c r="S43" s="1"/>
  <c r="BW42" i="1" l="1"/>
  <c r="AN41" i="7" l="1"/>
  <c r="AO41" s="1"/>
  <c r="J33" i="60"/>
  <c r="E33"/>
  <c r="L32" i="61"/>
  <c r="F32"/>
  <c r="U39" i="45"/>
  <c r="BX41" i="1" l="1"/>
  <c r="O42" i="5"/>
  <c r="M42"/>
  <c r="J42"/>
  <c r="L42" s="1"/>
  <c r="F42"/>
  <c r="I42" s="1"/>
  <c r="B42"/>
  <c r="E42" s="1"/>
  <c r="N33" i="64"/>
  <c r="M33"/>
  <c r="I33"/>
  <c r="F33"/>
  <c r="BA41" i="1"/>
  <c r="K40" i="36"/>
  <c r="I40"/>
  <c r="F40"/>
  <c r="I40" i="35"/>
  <c r="F40"/>
  <c r="K40" s="1"/>
  <c r="AV41" i="1"/>
  <c r="O33" i="64" l="1"/>
  <c r="R33" s="1"/>
  <c r="P42" i="5"/>
  <c r="R42" s="1"/>
  <c r="S42" s="1"/>
  <c r="BT41" i="1"/>
  <c r="G42" i="51"/>
  <c r="I42" s="1"/>
  <c r="J42" s="1"/>
  <c r="G42" i="4"/>
  <c r="K43" i="3"/>
  <c r="L43" s="1"/>
  <c r="N43" s="1"/>
  <c r="O43" s="1"/>
  <c r="J43"/>
  <c r="G43"/>
  <c r="D43"/>
  <c r="CE41" i="1"/>
  <c r="CB41"/>
  <c r="BH41"/>
  <c r="AX41"/>
  <c r="AY41" s="1"/>
  <c r="AZ41" s="1"/>
  <c r="AL41"/>
  <c r="AO41"/>
  <c r="AN41"/>
  <c r="AM41"/>
  <c r="AH41"/>
  <c r="AD41"/>
  <c r="S41"/>
  <c r="T41" s="1"/>
  <c r="L41"/>
  <c r="BC41" s="1"/>
  <c r="BW41" l="1"/>
  <c r="N41"/>
  <c r="W41" s="1"/>
  <c r="X41" s="1"/>
  <c r="AP41"/>
  <c r="BU41" s="1"/>
  <c r="BV41"/>
  <c r="AN40" i="7" l="1"/>
  <c r="AO40" s="1"/>
  <c r="I39" i="35" l="1"/>
  <c r="F39"/>
  <c r="K39" s="1"/>
  <c r="K39" i="36"/>
  <c r="I39"/>
  <c r="F39"/>
  <c r="M41" i="5"/>
  <c r="O41" s="1"/>
  <c r="F41"/>
  <c r="I41" s="1"/>
  <c r="J41"/>
  <c r="L41" s="1"/>
  <c r="E41"/>
  <c r="B41"/>
  <c r="P41" l="1"/>
  <c r="R41" s="1"/>
  <c r="S41" s="1"/>
  <c r="J32" i="60"/>
  <c r="E32"/>
  <c r="L31" i="61"/>
  <c r="F31"/>
  <c r="BA40" i="1"/>
  <c r="AV40"/>
  <c r="U37" i="45" l="1"/>
  <c r="U38"/>
  <c r="G41" i="51" l="1"/>
  <c r="I41" s="1"/>
  <c r="J41" s="1"/>
  <c r="G39" i="4"/>
  <c r="G40"/>
  <c r="G41"/>
  <c r="K42" i="3"/>
  <c r="J42"/>
  <c r="G42"/>
  <c r="D42"/>
  <c r="CE40" i="1"/>
  <c r="CB40"/>
  <c r="BX40"/>
  <c r="BH40"/>
  <c r="AX40"/>
  <c r="AY40" s="1"/>
  <c r="AZ40" s="1"/>
  <c r="AL40"/>
  <c r="AO40"/>
  <c r="AN40"/>
  <c r="AM40"/>
  <c r="AH40"/>
  <c r="AD40"/>
  <c r="W40"/>
  <c r="X40" s="1"/>
  <c r="S40"/>
  <c r="T40" s="1"/>
  <c r="N40"/>
  <c r="L40"/>
  <c r="BC40" s="1"/>
  <c r="BT40"/>
  <c r="BV40" s="1"/>
  <c r="O32" i="64"/>
  <c r="R32" s="1"/>
  <c r="N32"/>
  <c r="M32"/>
  <c r="I32"/>
  <c r="F32"/>
  <c r="U38" i="6"/>
  <c r="M38"/>
  <c r="J38"/>
  <c r="G38"/>
  <c r="D38"/>
  <c r="U37"/>
  <c r="M37"/>
  <c r="J37"/>
  <c r="G37"/>
  <c r="D37"/>
  <c r="U36"/>
  <c r="M36"/>
  <c r="J36"/>
  <c r="G36"/>
  <c r="D36"/>
  <c r="U35"/>
  <c r="M35"/>
  <c r="J35"/>
  <c r="G35"/>
  <c r="D35"/>
  <c r="T34"/>
  <c r="S34"/>
  <c r="R34"/>
  <c r="Q34"/>
  <c r="P34"/>
  <c r="L34"/>
  <c r="K34"/>
  <c r="I34"/>
  <c r="H34"/>
  <c r="F34"/>
  <c r="E34"/>
  <c r="C34"/>
  <c r="B34"/>
  <c r="U33"/>
  <c r="M33"/>
  <c r="J33"/>
  <c r="G33"/>
  <c r="D33"/>
  <c r="U32"/>
  <c r="M32"/>
  <c r="J32"/>
  <c r="G32"/>
  <c r="D32"/>
  <c r="U31"/>
  <c r="M31"/>
  <c r="J31"/>
  <c r="G31"/>
  <c r="D31"/>
  <c r="U30"/>
  <c r="M30"/>
  <c r="J30"/>
  <c r="G30"/>
  <c r="D30"/>
  <c r="T29"/>
  <c r="S29"/>
  <c r="R29"/>
  <c r="Q29"/>
  <c r="P29"/>
  <c r="L29"/>
  <c r="K29"/>
  <c r="I29"/>
  <c r="H29"/>
  <c r="F29"/>
  <c r="E29"/>
  <c r="C29"/>
  <c r="B29"/>
  <c r="U28"/>
  <c r="M28"/>
  <c r="J28"/>
  <c r="G28"/>
  <c r="D28"/>
  <c r="U27"/>
  <c r="M27"/>
  <c r="J27"/>
  <c r="G27"/>
  <c r="D27"/>
  <c r="U26"/>
  <c r="M26"/>
  <c r="J26"/>
  <c r="G26"/>
  <c r="D26"/>
  <c r="U25"/>
  <c r="M25"/>
  <c r="J25"/>
  <c r="G25"/>
  <c r="D25"/>
  <c r="T24"/>
  <c r="S24"/>
  <c r="R24"/>
  <c r="Q24"/>
  <c r="P24"/>
  <c r="L24"/>
  <c r="K24"/>
  <c r="I24"/>
  <c r="H24"/>
  <c r="F24"/>
  <c r="E24"/>
  <c r="C24"/>
  <c r="B24"/>
  <c r="U23"/>
  <c r="M23"/>
  <c r="J23"/>
  <c r="G23"/>
  <c r="D23"/>
  <c r="U22"/>
  <c r="M22"/>
  <c r="J22"/>
  <c r="G22"/>
  <c r="D22"/>
  <c r="U21"/>
  <c r="M21"/>
  <c r="J21"/>
  <c r="G21"/>
  <c r="D21"/>
  <c r="U20"/>
  <c r="M20"/>
  <c r="J20"/>
  <c r="G20"/>
  <c r="D20"/>
  <c r="T19"/>
  <c r="S19"/>
  <c r="R19"/>
  <c r="Q19"/>
  <c r="P19"/>
  <c r="L19"/>
  <c r="K19"/>
  <c r="I19"/>
  <c r="H19"/>
  <c r="F19"/>
  <c r="E19"/>
  <c r="C19"/>
  <c r="B19"/>
  <c r="U18"/>
  <c r="M18"/>
  <c r="J18"/>
  <c r="G18"/>
  <c r="D18"/>
  <c r="U17"/>
  <c r="M17"/>
  <c r="J17"/>
  <c r="G17"/>
  <c r="D17"/>
  <c r="U16"/>
  <c r="M16"/>
  <c r="J16"/>
  <c r="G16"/>
  <c r="D16"/>
  <c r="U15"/>
  <c r="M15"/>
  <c r="J15"/>
  <c r="G15"/>
  <c r="D15"/>
  <c r="T14"/>
  <c r="S14"/>
  <c r="R14"/>
  <c r="Q14"/>
  <c r="P14"/>
  <c r="L14"/>
  <c r="K14"/>
  <c r="I14"/>
  <c r="H14"/>
  <c r="F14"/>
  <c r="E14"/>
  <c r="C14"/>
  <c r="B14"/>
  <c r="U6"/>
  <c r="V6" s="1"/>
  <c r="AO24" i="7"/>
  <c r="AL19"/>
  <c r="AK19"/>
  <c r="AJ19"/>
  <c r="AI19"/>
  <c r="AH19"/>
  <c r="AG19"/>
  <c r="AF19"/>
  <c r="AE19"/>
  <c r="AD19"/>
  <c r="AC19"/>
  <c r="AB19"/>
  <c r="AA19"/>
  <c r="Z19"/>
  <c r="Y19"/>
  <c r="X19"/>
  <c r="W19"/>
  <c r="T19"/>
  <c r="S19"/>
  <c r="R19"/>
  <c r="Q19"/>
  <c r="P19"/>
  <c r="N19"/>
  <c r="M19"/>
  <c r="N26" i="6" l="1"/>
  <c r="V26" s="1"/>
  <c r="N16"/>
  <c r="V16" s="1"/>
  <c r="N36"/>
  <c r="V36" s="1"/>
  <c r="M14"/>
  <c r="U29"/>
  <c r="M29"/>
  <c r="N31"/>
  <c r="V31" s="1"/>
  <c r="AO25" i="7"/>
  <c r="AN36"/>
  <c r="AO36" s="1"/>
  <c r="AO26"/>
  <c r="AN34"/>
  <c r="AO34" s="1"/>
  <c r="AO31"/>
  <c r="AO22"/>
  <c r="AO30"/>
  <c r="AN35"/>
  <c r="AO35" s="1"/>
  <c r="AN37"/>
  <c r="AO37" s="1"/>
  <c r="AM32"/>
  <c r="AN33"/>
  <c r="AO33" s="1"/>
  <c r="O32"/>
  <c r="AO27"/>
  <c r="AN39"/>
  <c r="AO39" s="1"/>
  <c r="AO23"/>
  <c r="L42" i="3"/>
  <c r="N42" s="1"/>
  <c r="O42" s="1"/>
  <c r="AP40" i="1"/>
  <c r="BW40" s="1"/>
  <c r="BU40"/>
  <c r="N27" i="6"/>
  <c r="V27" s="1"/>
  <c r="N15"/>
  <c r="N18"/>
  <c r="V18" s="1"/>
  <c r="N22"/>
  <c r="V22" s="1"/>
  <c r="G19"/>
  <c r="N21"/>
  <c r="V21" s="1"/>
  <c r="G14"/>
  <c r="M24"/>
  <c r="M19"/>
  <c r="J24"/>
  <c r="N30"/>
  <c r="V30" s="1"/>
  <c r="N33"/>
  <c r="V33" s="1"/>
  <c r="M34"/>
  <c r="N37"/>
  <c r="V37" s="1"/>
  <c r="N25"/>
  <c r="V25" s="1"/>
  <c r="N28"/>
  <c r="V28" s="1"/>
  <c r="N32"/>
  <c r="V32" s="1"/>
  <c r="J19"/>
  <c r="N20"/>
  <c r="V20" s="1"/>
  <c r="N23"/>
  <c r="V23" s="1"/>
  <c r="J14"/>
  <c r="U19"/>
  <c r="G34"/>
  <c r="U14"/>
  <c r="G29"/>
  <c r="U24"/>
  <c r="J34"/>
  <c r="N17"/>
  <c r="V17" s="1"/>
  <c r="G24"/>
  <c r="N35"/>
  <c r="N38"/>
  <c r="V38" s="1"/>
  <c r="J29"/>
  <c r="U34"/>
  <c r="AO21" i="7"/>
  <c r="AM19"/>
  <c r="AO20"/>
  <c r="AO29"/>
  <c r="AN38"/>
  <c r="V35" i="6"/>
  <c r="D14"/>
  <c r="D19"/>
  <c r="D24"/>
  <c r="D29"/>
  <c r="D34"/>
  <c r="AO28" i="7"/>
  <c r="AO38"/>
  <c r="O19"/>
  <c r="J31" i="60"/>
  <c r="E31"/>
  <c r="N31" i="64"/>
  <c r="M31"/>
  <c r="I31"/>
  <c r="F31"/>
  <c r="N30"/>
  <c r="M30"/>
  <c r="I30"/>
  <c r="F30"/>
  <c r="O30" s="1"/>
  <c r="R30" s="1"/>
  <c r="N29"/>
  <c r="M29"/>
  <c r="I29"/>
  <c r="F29"/>
  <c r="O28"/>
  <c r="R28" s="1"/>
  <c r="N28"/>
  <c r="M28"/>
  <c r="I28"/>
  <c r="F28"/>
  <c r="N27"/>
  <c r="M27"/>
  <c r="I27"/>
  <c r="F27"/>
  <c r="N26"/>
  <c r="M26"/>
  <c r="I26"/>
  <c r="F26"/>
  <c r="R25"/>
  <c r="O25"/>
  <c r="N25"/>
  <c r="M25"/>
  <c r="I25"/>
  <c r="F25"/>
  <c r="N23"/>
  <c r="M23"/>
  <c r="I23"/>
  <c r="F23"/>
  <c r="N22"/>
  <c r="O22" s="1"/>
  <c r="R22" s="1"/>
  <c r="M22"/>
  <c r="I22"/>
  <c r="F22"/>
  <c r="N21"/>
  <c r="O21" s="1"/>
  <c r="R21" s="1"/>
  <c r="M21"/>
  <c r="I21"/>
  <c r="F21"/>
  <c r="N20"/>
  <c r="M20"/>
  <c r="I20"/>
  <c r="F20"/>
  <c r="N19"/>
  <c r="M19"/>
  <c r="I19"/>
  <c r="F19"/>
  <c r="N18"/>
  <c r="M18"/>
  <c r="I18"/>
  <c r="F18"/>
  <c r="N17"/>
  <c r="O17" s="1"/>
  <c r="R17" s="1"/>
  <c r="M17"/>
  <c r="I17"/>
  <c r="F17"/>
  <c r="N16"/>
  <c r="M16"/>
  <c r="I16"/>
  <c r="F16"/>
  <c r="R15"/>
  <c r="O15"/>
  <c r="N15"/>
  <c r="M15"/>
  <c r="I15"/>
  <c r="F15"/>
  <c r="N14"/>
  <c r="M14"/>
  <c r="I14"/>
  <c r="F14"/>
  <c r="N13"/>
  <c r="O13" s="1"/>
  <c r="R13" s="1"/>
  <c r="M13"/>
  <c r="I13"/>
  <c r="F13"/>
  <c r="N12"/>
  <c r="M12"/>
  <c r="I12"/>
  <c r="F12"/>
  <c r="Q11"/>
  <c r="P11"/>
  <c r="L11"/>
  <c r="K11"/>
  <c r="J11"/>
  <c r="H11"/>
  <c r="G11"/>
  <c r="E11"/>
  <c r="D11"/>
  <c r="C11"/>
  <c r="B11"/>
  <c r="N7"/>
  <c r="M7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V19" i="6" l="1"/>
  <c r="N24"/>
  <c r="AO32" i="7"/>
  <c r="AO19"/>
  <c r="AN32"/>
  <c r="AN19"/>
  <c r="O12" i="64"/>
  <c r="R12" s="1"/>
  <c r="O14"/>
  <c r="R14" s="1"/>
  <c r="M11"/>
  <c r="O19"/>
  <c r="R19" s="1"/>
  <c r="O26"/>
  <c r="R26" s="1"/>
  <c r="R24" s="1"/>
  <c r="O7"/>
  <c r="O29"/>
  <c r="R29" s="1"/>
  <c r="I24"/>
  <c r="F24"/>
  <c r="M24"/>
  <c r="O23"/>
  <c r="R23" s="1"/>
  <c r="O20"/>
  <c r="R20" s="1"/>
  <c r="O31"/>
  <c r="R31" s="1"/>
  <c r="O18"/>
  <c r="R18" s="1"/>
  <c r="O16"/>
  <c r="R16" s="1"/>
  <c r="O27"/>
  <c r="R27" s="1"/>
  <c r="N24"/>
  <c r="I11"/>
  <c r="F11"/>
  <c r="N14" i="6"/>
  <c r="N19"/>
  <c r="V24"/>
  <c r="V15"/>
  <c r="V14" s="1"/>
  <c r="V34"/>
  <c r="N34"/>
  <c r="V29"/>
  <c r="N29"/>
  <c r="N11" i="64"/>
  <c r="G40" i="51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I34"/>
  <c r="J34" s="1"/>
  <c r="G34"/>
  <c r="G32"/>
  <c r="G20" s="1"/>
  <c r="G31"/>
  <c r="I31" s="1"/>
  <c r="J31" s="1"/>
  <c r="G30"/>
  <c r="I30" s="1"/>
  <c r="J30" s="1"/>
  <c r="I29"/>
  <c r="J29" s="1"/>
  <c r="G29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G21"/>
  <c r="I21" s="1"/>
  <c r="J21" s="1"/>
  <c r="H20"/>
  <c r="F20"/>
  <c r="E20"/>
  <c r="D20"/>
  <c r="C20"/>
  <c r="B20"/>
  <c r="J10"/>
  <c r="I10"/>
  <c r="G10"/>
  <c r="J9"/>
  <c r="I9"/>
  <c r="G9"/>
  <c r="G8"/>
  <c r="I8" s="1"/>
  <c r="J8" s="1"/>
  <c r="G38" i="4"/>
  <c r="G37"/>
  <c r="G36"/>
  <c r="G35"/>
  <c r="G34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G8"/>
  <c r="K41" i="3"/>
  <c r="J41"/>
  <c r="G41"/>
  <c r="D41"/>
  <c r="O40"/>
  <c r="N40"/>
  <c r="L40"/>
  <c r="K40"/>
  <c r="J40"/>
  <c r="G40"/>
  <c r="D40"/>
  <c r="K39"/>
  <c r="J39"/>
  <c r="G39"/>
  <c r="D39"/>
  <c r="K38"/>
  <c r="J38"/>
  <c r="G38"/>
  <c r="D38"/>
  <c r="J37"/>
  <c r="G37"/>
  <c r="D37"/>
  <c r="K36"/>
  <c r="J36"/>
  <c r="G36"/>
  <c r="D36"/>
  <c r="K35"/>
  <c r="J35"/>
  <c r="L35" s="1"/>
  <c r="N35" s="1"/>
  <c r="O35" s="1"/>
  <c r="G35"/>
  <c r="D35"/>
  <c r="J33"/>
  <c r="J21" s="1"/>
  <c r="G33"/>
  <c r="D33"/>
  <c r="N32"/>
  <c r="O32" s="1"/>
  <c r="L32"/>
  <c r="K32"/>
  <c r="J32"/>
  <c r="G32"/>
  <c r="D32"/>
  <c r="K31"/>
  <c r="J31"/>
  <c r="G31"/>
  <c r="D31"/>
  <c r="K30"/>
  <c r="J30"/>
  <c r="G30"/>
  <c r="D30"/>
  <c r="K29"/>
  <c r="L29" s="1"/>
  <c r="N29" s="1"/>
  <c r="O29" s="1"/>
  <c r="J29"/>
  <c r="G29"/>
  <c r="D29"/>
  <c r="K28"/>
  <c r="J28"/>
  <c r="G28"/>
  <c r="D28"/>
  <c r="K27"/>
  <c r="J27"/>
  <c r="G27"/>
  <c r="L27" s="1"/>
  <c r="N27" s="1"/>
  <c r="O27" s="1"/>
  <c r="D27"/>
  <c r="K26"/>
  <c r="J26"/>
  <c r="G26"/>
  <c r="D26"/>
  <c r="K25"/>
  <c r="J25"/>
  <c r="G25"/>
  <c r="D25"/>
  <c r="K24"/>
  <c r="L24" s="1"/>
  <c r="N24" s="1"/>
  <c r="J24"/>
  <c r="G24"/>
  <c r="D24"/>
  <c r="K23"/>
  <c r="J23"/>
  <c r="G23"/>
  <c r="D23"/>
  <c r="K22"/>
  <c r="L22" s="1"/>
  <c r="N22" s="1"/>
  <c r="J22"/>
  <c r="G22"/>
  <c r="D22"/>
  <c r="M21"/>
  <c r="K21"/>
  <c r="I21"/>
  <c r="H21"/>
  <c r="F21"/>
  <c r="E21"/>
  <c r="C21"/>
  <c r="B21"/>
  <c r="O12"/>
  <c r="N12"/>
  <c r="D11"/>
  <c r="L10"/>
  <c r="J10"/>
  <c r="G10"/>
  <c r="D10"/>
  <c r="J9"/>
  <c r="G9"/>
  <c r="D9"/>
  <c r="CE39" i="1"/>
  <c r="CB39"/>
  <c r="BT39"/>
  <c r="BH39"/>
  <c r="BA39"/>
  <c r="AV39"/>
  <c r="AO39"/>
  <c r="AN39"/>
  <c r="AM39"/>
  <c r="AL39"/>
  <c r="AH39"/>
  <c r="AD39"/>
  <c r="S39"/>
  <c r="T39" s="1"/>
  <c r="L39"/>
  <c r="CE38"/>
  <c r="CB38"/>
  <c r="BT38"/>
  <c r="BH38"/>
  <c r="BA38"/>
  <c r="AV38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BX37" s="1"/>
  <c r="AV37"/>
  <c r="AX37" s="1"/>
  <c r="AY37" s="1"/>
  <c r="AO37"/>
  <c r="AN37"/>
  <c r="AM37"/>
  <c r="AL37"/>
  <c r="AH37"/>
  <c r="AD37"/>
  <c r="T37"/>
  <c r="S37"/>
  <c r="L37"/>
  <c r="CE36"/>
  <c r="CB36"/>
  <c r="BT36"/>
  <c r="BH36"/>
  <c r="BA36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O34"/>
  <c r="AN34"/>
  <c r="AM34"/>
  <c r="AL34"/>
  <c r="AH34"/>
  <c r="AD34"/>
  <c r="S34"/>
  <c r="T34" s="1"/>
  <c r="L34"/>
  <c r="CE33"/>
  <c r="CB33"/>
  <c r="BT33"/>
  <c r="BH33"/>
  <c r="BA33"/>
  <c r="BX33" s="1"/>
  <c r="AV33"/>
  <c r="AO33"/>
  <c r="AN33"/>
  <c r="AM33"/>
  <c r="AL33"/>
  <c r="AH33"/>
  <c r="AD33"/>
  <c r="S33"/>
  <c r="T33" s="1"/>
  <c r="L33"/>
  <c r="N33" s="1"/>
  <c r="W33" s="1"/>
  <c r="X33" s="1"/>
  <c r="CE31"/>
  <c r="CB31"/>
  <c r="CB19" s="1"/>
  <c r="BT31"/>
  <c r="BT19" s="1"/>
  <c r="BH31"/>
  <c r="BH19" s="1"/>
  <c r="BA31"/>
  <c r="BA19" s="1"/>
  <c r="AV31"/>
  <c r="AO31"/>
  <c r="AO19" s="1"/>
  <c r="AN31"/>
  <c r="AN19" s="1"/>
  <c r="AM31"/>
  <c r="AM19" s="1"/>
  <c r="AL31"/>
  <c r="AL19" s="1"/>
  <c r="AH31"/>
  <c r="AD31"/>
  <c r="AD19" s="1"/>
  <c r="S31"/>
  <c r="T31" s="1"/>
  <c r="T19" s="1"/>
  <c r="L31"/>
  <c r="CE30"/>
  <c r="CB30"/>
  <c r="BT30"/>
  <c r="BH30"/>
  <c r="BA30"/>
  <c r="AV30"/>
  <c r="AX30" s="1"/>
  <c r="AY30" s="1"/>
  <c r="AZ30" s="1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O29"/>
  <c r="AN29"/>
  <c r="AM29"/>
  <c r="AL29"/>
  <c r="AH29"/>
  <c r="AD29"/>
  <c r="S29"/>
  <c r="T29" s="1"/>
  <c r="L29"/>
  <c r="CE28"/>
  <c r="CB28"/>
  <c r="BT28"/>
  <c r="BH28"/>
  <c r="BA28"/>
  <c r="BX28" s="1"/>
  <c r="AV28"/>
  <c r="AO28"/>
  <c r="AN28"/>
  <c r="AM28"/>
  <c r="AL28"/>
  <c r="AH28"/>
  <c r="AD28"/>
  <c r="S28"/>
  <c r="T28" s="1"/>
  <c r="L28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N27"/>
  <c r="W27" s="1"/>
  <c r="X27" s="1"/>
  <c r="L27"/>
  <c r="CE26"/>
  <c r="CB26"/>
  <c r="BT26"/>
  <c r="BH26"/>
  <c r="BA26"/>
  <c r="AV26"/>
  <c r="AX26" s="1"/>
  <c r="AY26" s="1"/>
  <c r="AO26"/>
  <c r="AN26"/>
  <c r="AM26"/>
  <c r="AL26"/>
  <c r="AH26"/>
  <c r="AD26"/>
  <c r="S26"/>
  <c r="T26" s="1"/>
  <c r="N26"/>
  <c r="W26" s="1"/>
  <c r="X26" s="1"/>
  <c r="L26"/>
  <c r="CE25"/>
  <c r="CB25"/>
  <c r="BT25"/>
  <c r="BH25"/>
  <c r="BA25"/>
  <c r="AV25"/>
  <c r="AO25"/>
  <c r="AN25"/>
  <c r="AM25"/>
  <c r="AL25"/>
  <c r="AH25"/>
  <c r="AD25"/>
  <c r="S25"/>
  <c r="T25" s="1"/>
  <c r="L25"/>
  <c r="N25" s="1"/>
  <c r="W25" s="1"/>
  <c r="X25" s="1"/>
  <c r="CE24"/>
  <c r="CB24"/>
  <c r="BT24"/>
  <c r="BH24"/>
  <c r="BA24"/>
  <c r="BX24" s="1"/>
  <c r="AV24"/>
  <c r="AX24" s="1"/>
  <c r="AY24" s="1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C23"/>
  <c r="BA23"/>
  <c r="AV23"/>
  <c r="AX23" s="1"/>
  <c r="AY23" s="1"/>
  <c r="AO23"/>
  <c r="AN23"/>
  <c r="AM23"/>
  <c r="AL23"/>
  <c r="AH23"/>
  <c r="AD23"/>
  <c r="S23"/>
  <c r="T23" s="1"/>
  <c r="L23"/>
  <c r="N23" s="1"/>
  <c r="W23" s="1"/>
  <c r="X23" s="1"/>
  <c r="CE22"/>
  <c r="CB22"/>
  <c r="BV22"/>
  <c r="BT22"/>
  <c r="BH22"/>
  <c r="BA22"/>
  <c r="AZ22" s="1"/>
  <c r="AV22"/>
  <c r="AX22" s="1"/>
  <c r="AY22" s="1"/>
  <c r="AO22"/>
  <c r="AN22"/>
  <c r="AM22"/>
  <c r="AL22"/>
  <c r="AH22"/>
  <c r="AD22"/>
  <c r="S22"/>
  <c r="T22" s="1"/>
  <c r="L22"/>
  <c r="N22" s="1"/>
  <c r="W22" s="1"/>
  <c r="X22" s="1"/>
  <c r="CE21"/>
  <c r="CB21"/>
  <c r="BV21"/>
  <c r="BT21"/>
  <c r="BH21"/>
  <c r="BA21"/>
  <c r="AV21"/>
  <c r="AO21"/>
  <c r="AN21"/>
  <c r="AM21"/>
  <c r="AL21"/>
  <c r="AH21"/>
  <c r="AD21"/>
  <c r="S21"/>
  <c r="T21" s="1"/>
  <c r="L21"/>
  <c r="N21" s="1"/>
  <c r="W21" s="1"/>
  <c r="X21" s="1"/>
  <c r="CE20"/>
  <c r="CB20"/>
  <c r="BT20"/>
  <c r="BH20"/>
  <c r="BA20"/>
  <c r="BX20" s="1"/>
  <c r="AV20"/>
  <c r="AO20"/>
  <c r="AN20"/>
  <c r="AM20"/>
  <c r="AL20"/>
  <c r="AH20"/>
  <c r="AD20"/>
  <c r="S20"/>
  <c r="T20" s="1"/>
  <c r="L20"/>
  <c r="N20" s="1"/>
  <c r="W20" s="1"/>
  <c r="X20" s="1"/>
  <c r="CE19"/>
  <c r="CD19"/>
  <c r="CC19"/>
  <c r="CA19"/>
  <c r="BZ19"/>
  <c r="BY19"/>
  <c r="BS19"/>
  <c r="BR19"/>
  <c r="BQ19"/>
  <c r="BP19"/>
  <c r="BN19"/>
  <c r="BM19"/>
  <c r="BL19"/>
  <c r="BK19"/>
  <c r="BJ19"/>
  <c r="BG19"/>
  <c r="BF19"/>
  <c r="BE19"/>
  <c r="BD19"/>
  <c r="BB19"/>
  <c r="AW19"/>
  <c r="AU19"/>
  <c r="AT19"/>
  <c r="AS19"/>
  <c r="AR19"/>
  <c r="AK19"/>
  <c r="AJ19"/>
  <c r="AI19"/>
  <c r="AH19"/>
  <c r="AG19"/>
  <c r="AF19"/>
  <c r="AE19"/>
  <c r="AC19"/>
  <c r="AB19"/>
  <c r="AA19"/>
  <c r="Y19"/>
  <c r="V19"/>
  <c r="U19"/>
  <c r="R19"/>
  <c r="Q19"/>
  <c r="P19"/>
  <c r="O19"/>
  <c r="M19"/>
  <c r="L19"/>
  <c r="K19"/>
  <c r="J19"/>
  <c r="CE10"/>
  <c r="CB10"/>
  <c r="CB9"/>
  <c r="CB8"/>
  <c r="CB7"/>
  <c r="AZ7"/>
  <c r="AY7"/>
  <c r="I32" i="51" l="1"/>
  <c r="O11" i="64"/>
  <c r="R11"/>
  <c r="O24"/>
  <c r="L39" i="3"/>
  <c r="N39" s="1"/>
  <c r="O39" s="1"/>
  <c r="O22"/>
  <c r="L30"/>
  <c r="N30" s="1"/>
  <c r="O30" s="1"/>
  <c r="O24"/>
  <c r="L38"/>
  <c r="N38" s="1"/>
  <c r="O38" s="1"/>
  <c r="L33"/>
  <c r="N33" s="1"/>
  <c r="N21" s="1"/>
  <c r="L41"/>
  <c r="N41" s="1"/>
  <c r="O41" s="1"/>
  <c r="L37"/>
  <c r="N37" s="1"/>
  <c r="O37" s="1"/>
  <c r="L23"/>
  <c r="N23" s="1"/>
  <c r="O23" s="1"/>
  <c r="L9"/>
  <c r="N9" s="1"/>
  <c r="L26"/>
  <c r="N26" s="1"/>
  <c r="O26" s="1"/>
  <c r="L36"/>
  <c r="N36" s="1"/>
  <c r="O36" s="1"/>
  <c r="L25"/>
  <c r="N25" s="1"/>
  <c r="L28"/>
  <c r="N28" s="1"/>
  <c r="O28" s="1"/>
  <c r="L31"/>
  <c r="BC27" i="1"/>
  <c r="BC31"/>
  <c r="BC19" s="1"/>
  <c r="BC34"/>
  <c r="AX39"/>
  <c r="AY39" s="1"/>
  <c r="AZ39" s="1"/>
  <c r="BV39"/>
  <c r="N31"/>
  <c r="N19" s="1"/>
  <c r="BC26"/>
  <c r="AP38"/>
  <c r="BW38" s="1"/>
  <c r="BV28"/>
  <c r="BX21"/>
  <c r="BC30"/>
  <c r="AP39"/>
  <c r="BW39" s="1"/>
  <c r="BV29"/>
  <c r="AP25"/>
  <c r="BX31"/>
  <c r="BX19" s="1"/>
  <c r="N39"/>
  <c r="W39" s="1"/>
  <c r="X39" s="1"/>
  <c r="BC39"/>
  <c r="BC35"/>
  <c r="AP21"/>
  <c r="BW21" s="1"/>
  <c r="AP22"/>
  <c r="BU22" s="1"/>
  <c r="AP27"/>
  <c r="BW27" s="1"/>
  <c r="BC36"/>
  <c r="AP30"/>
  <c r="BW30" s="1"/>
  <c r="BC28"/>
  <c r="BC21"/>
  <c r="BC29"/>
  <c r="BV38"/>
  <c r="BV25"/>
  <c r="BX23"/>
  <c r="AP24"/>
  <c r="BU24" s="1"/>
  <c r="AP29"/>
  <c r="BU29" s="1"/>
  <c r="N34"/>
  <c r="W34" s="1"/>
  <c r="X34" s="1"/>
  <c r="BC37"/>
  <c r="AP26"/>
  <c r="BW26" s="1"/>
  <c r="BC33"/>
  <c r="BV37"/>
  <c r="AP20"/>
  <c r="BW20" s="1"/>
  <c r="AP23"/>
  <c r="BU23" s="1"/>
  <c r="N28"/>
  <c r="W28" s="1"/>
  <c r="X28" s="1"/>
  <c r="N29"/>
  <c r="W29" s="1"/>
  <c r="X29" s="1"/>
  <c r="BV35"/>
  <c r="BV30"/>
  <c r="AZ37"/>
  <c r="S19"/>
  <c r="BV33"/>
  <c r="AZ35"/>
  <c r="BX36"/>
  <c r="BC24"/>
  <c r="BC25"/>
  <c r="BC20"/>
  <c r="BV23"/>
  <c r="BV26"/>
  <c r="BV34"/>
  <c r="AZ24"/>
  <c r="AP37"/>
  <c r="BW37" s="1"/>
  <c r="AZ23"/>
  <c r="AP35"/>
  <c r="BU35" s="1"/>
  <c r="BV20"/>
  <c r="AZ27"/>
  <c r="AP33"/>
  <c r="BW33" s="1"/>
  <c r="AP34"/>
  <c r="BW34" s="1"/>
  <c r="AP36"/>
  <c r="BW36" s="1"/>
  <c r="AP28"/>
  <c r="AP31"/>
  <c r="N37"/>
  <c r="W37" s="1"/>
  <c r="X37" s="1"/>
  <c r="BC38"/>
  <c r="L21" i="3"/>
  <c r="O25"/>
  <c r="G21"/>
  <c r="D21"/>
  <c r="BU21" i="1"/>
  <c r="BW29"/>
  <c r="BU28"/>
  <c r="BW28"/>
  <c r="BU31"/>
  <c r="BU19" s="1"/>
  <c r="BW31"/>
  <c r="BW19" s="1"/>
  <c r="AP19"/>
  <c r="BU25"/>
  <c r="BW25"/>
  <c r="BV24"/>
  <c r="AZ26"/>
  <c r="BX27"/>
  <c r="BV36"/>
  <c r="BV27"/>
  <c r="BV31"/>
  <c r="BV19" s="1"/>
  <c r="BX22"/>
  <c r="BX26"/>
  <c r="BX30"/>
  <c r="BX35"/>
  <c r="BX39"/>
  <c r="AX21"/>
  <c r="AY21" s="1"/>
  <c r="AZ21" s="1"/>
  <c r="AX25"/>
  <c r="AY25" s="1"/>
  <c r="AZ25" s="1"/>
  <c r="AX29"/>
  <c r="AY29" s="1"/>
  <c r="AZ29" s="1"/>
  <c r="AX34"/>
  <c r="AY34" s="1"/>
  <c r="AZ34" s="1"/>
  <c r="AX38"/>
  <c r="AY38" s="1"/>
  <c r="AZ38" s="1"/>
  <c r="BX25"/>
  <c r="BX29"/>
  <c r="BX34"/>
  <c r="BX38"/>
  <c r="AV19"/>
  <c r="AX20"/>
  <c r="AY20" s="1"/>
  <c r="AZ20" s="1"/>
  <c r="AX28"/>
  <c r="AY28" s="1"/>
  <c r="AZ28" s="1"/>
  <c r="AX33"/>
  <c r="AY33" s="1"/>
  <c r="AZ33" s="1"/>
  <c r="BC22"/>
  <c r="AX31"/>
  <c r="AX36"/>
  <c r="AY36" s="1"/>
  <c r="AZ36" s="1"/>
  <c r="I20" i="51" l="1"/>
  <c r="J32"/>
  <c r="J20" s="1"/>
  <c r="S11" i="64"/>
  <c r="O31" i="3"/>
  <c r="N31"/>
  <c r="BU33" i="1"/>
  <c r="BW23"/>
  <c r="BU20"/>
  <c r="BU37"/>
  <c r="BU26"/>
  <c r="BW22"/>
  <c r="BU30"/>
  <c r="BU27"/>
  <c r="BU34"/>
  <c r="BU39"/>
  <c r="W31"/>
  <c r="X31" s="1"/>
  <c r="X19" s="1"/>
  <c r="BU38"/>
  <c r="BU36"/>
  <c r="BW35"/>
  <c r="BW24"/>
  <c r="O33" i="3"/>
  <c r="O21" s="1"/>
  <c r="AY31" i="1"/>
  <c r="AX19"/>
  <c r="W19" l="1"/>
  <c r="AZ31"/>
  <c r="AZ19" s="1"/>
  <c r="AY19"/>
  <c r="L30" i="61" l="1"/>
  <c r="F30"/>
  <c r="K38" i="36"/>
  <c r="I40" i="5"/>
  <c r="E40"/>
  <c r="M40"/>
  <c r="O40" s="1"/>
  <c r="L40"/>
  <c r="J40"/>
  <c r="F40"/>
  <c r="B40"/>
  <c r="I38" i="36"/>
  <c r="F38"/>
  <c r="I38" i="35"/>
  <c r="F38"/>
  <c r="P40" i="5" l="1"/>
  <c r="R40" s="1"/>
  <c r="S40" s="1"/>
  <c r="K38" i="35"/>
  <c r="I37" i="36"/>
  <c r="K37" s="1"/>
  <c r="F37"/>
  <c r="K36"/>
  <c r="I36"/>
  <c r="F36"/>
  <c r="I35"/>
  <c r="K35" s="1"/>
  <c r="F35"/>
  <c r="I34"/>
  <c r="F34"/>
  <c r="I33"/>
  <c r="K33" s="1"/>
  <c r="F33"/>
  <c r="K32"/>
  <c r="I32"/>
  <c r="F32"/>
  <c r="I30"/>
  <c r="I18" s="1"/>
  <c r="F30"/>
  <c r="F18" s="1"/>
  <c r="I29"/>
  <c r="F29"/>
  <c r="I28"/>
  <c r="K28" s="1"/>
  <c r="F28"/>
  <c r="K27"/>
  <c r="I27"/>
  <c r="F27"/>
  <c r="I26"/>
  <c r="K26" s="1"/>
  <c r="F26"/>
  <c r="I25"/>
  <c r="F25"/>
  <c r="I24"/>
  <c r="F24"/>
  <c r="I23"/>
  <c r="F23"/>
  <c r="K23" s="1"/>
  <c r="I22"/>
  <c r="K22" s="1"/>
  <c r="F22"/>
  <c r="I21"/>
  <c r="F21"/>
  <c r="I20"/>
  <c r="F20"/>
  <c r="K19"/>
  <c r="I19"/>
  <c r="F19"/>
  <c r="J18"/>
  <c r="H18"/>
  <c r="G18"/>
  <c r="E18"/>
  <c r="D18"/>
  <c r="C18"/>
  <c r="B18"/>
  <c r="I7"/>
  <c r="F7"/>
  <c r="I6"/>
  <c r="F6"/>
  <c r="K29" l="1"/>
  <c r="K21"/>
  <c r="K7"/>
  <c r="K6"/>
  <c r="K20"/>
  <c r="K34"/>
  <c r="K25"/>
  <c r="K24"/>
  <c r="K30"/>
  <c r="K18" s="1"/>
  <c r="K37" i="35" l="1"/>
  <c r="I37"/>
  <c r="F37"/>
  <c r="O39" i="5"/>
  <c r="M39"/>
  <c r="J39"/>
  <c r="L39" s="1"/>
  <c r="I39"/>
  <c r="F39"/>
  <c r="E39"/>
  <c r="B39"/>
  <c r="P39" l="1"/>
  <c r="R39" s="1"/>
  <c r="S39" s="1"/>
  <c r="F29" i="6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J30" i="60" l="1"/>
  <c r="E30"/>
  <c r="L29" i="61"/>
  <c r="U36" i="45"/>
  <c r="M38" i="5" l="1"/>
  <c r="O38" s="1"/>
  <c r="J38"/>
  <c r="L38" s="1"/>
  <c r="I38"/>
  <c r="F38"/>
  <c r="B38"/>
  <c r="E38" s="1"/>
  <c r="B37"/>
  <c r="B36"/>
  <c r="I36" i="35"/>
  <c r="K36" s="1"/>
  <c r="F36"/>
  <c r="P38" i="5" l="1"/>
  <c r="R38" s="1"/>
  <c r="S38" s="1"/>
  <c r="J29" i="60"/>
  <c r="E29"/>
  <c r="L28" i="61"/>
  <c r="F28"/>
  <c r="U35" i="45" l="1"/>
  <c r="G18" i="44" l="1"/>
  <c r="F18"/>
  <c r="E18"/>
  <c r="D18"/>
  <c r="C18"/>
  <c r="B18"/>
  <c r="K35" i="35" l="1"/>
  <c r="I35"/>
  <c r="F35"/>
  <c r="E37" i="5" l="1"/>
  <c r="U34" i="45" l="1"/>
  <c r="L27" i="61" l="1"/>
  <c r="F27"/>
  <c r="J28" i="60"/>
  <c r="E28"/>
  <c r="M37" i="5" l="1"/>
  <c r="O37" s="1"/>
  <c r="L37"/>
  <c r="J37"/>
  <c r="F37"/>
  <c r="I37" s="1"/>
  <c r="P37" l="1"/>
  <c r="R37" s="1"/>
  <c r="S37" s="1"/>
  <c r="J27" i="60" l="1"/>
  <c r="J25"/>
  <c r="J23"/>
  <c r="E27"/>
  <c r="E25"/>
  <c r="L26" i="61"/>
  <c r="F26"/>
  <c r="F25"/>
  <c r="F24"/>
  <c r="F22"/>
  <c r="U33" i="45" l="1"/>
  <c r="U30"/>
  <c r="U31"/>
  <c r="U32"/>
  <c r="K34" i="35" l="1"/>
  <c r="I34"/>
  <c r="F34"/>
  <c r="E36" i="5" l="1"/>
  <c r="O36"/>
  <c r="M36"/>
  <c r="L36"/>
  <c r="J36"/>
  <c r="F36"/>
  <c r="I36" s="1"/>
  <c r="S36" l="1"/>
  <c r="P36"/>
  <c r="R36" s="1"/>
  <c r="J26" i="60" l="1"/>
  <c r="E26"/>
  <c r="L25" i="61"/>
  <c r="O35" i="5" l="1"/>
  <c r="M35"/>
  <c r="J35"/>
  <c r="L35" s="1"/>
  <c r="I35"/>
  <c r="F35"/>
  <c r="B35"/>
  <c r="E35" s="1"/>
  <c r="B32"/>
  <c r="K33" i="35"/>
  <c r="I33"/>
  <c r="F33"/>
  <c r="P35" i="5" l="1"/>
  <c r="R35" s="1"/>
  <c r="S35" s="1"/>
  <c r="W38" i="27" l="1"/>
  <c r="W37"/>
  <c r="L24" i="61" l="1"/>
  <c r="M34" i="5" l="1"/>
  <c r="O34" s="1"/>
  <c r="J34"/>
  <c r="L34" s="1"/>
  <c r="I34"/>
  <c r="F34"/>
  <c r="E34"/>
  <c r="B34"/>
  <c r="K32" i="35"/>
  <c r="I32"/>
  <c r="F32"/>
  <c r="P34" i="5" l="1"/>
  <c r="R34" s="1"/>
  <c r="S34" s="1"/>
  <c r="C10" i="61" l="1"/>
  <c r="D10"/>
  <c r="E10"/>
  <c r="G10"/>
  <c r="H10"/>
  <c r="I10"/>
  <c r="J10"/>
  <c r="K10"/>
  <c r="M10"/>
  <c r="N10"/>
  <c r="O10"/>
  <c r="P10"/>
  <c r="Q10"/>
  <c r="R10"/>
  <c r="S10"/>
  <c r="B10"/>
  <c r="L22"/>
  <c r="L10" s="1"/>
  <c r="F10"/>
  <c r="C11" i="60"/>
  <c r="D11"/>
  <c r="F11"/>
  <c r="G11"/>
  <c r="H11"/>
  <c r="I11"/>
  <c r="J11"/>
  <c r="K11"/>
  <c r="L11"/>
  <c r="M11"/>
  <c r="N11"/>
  <c r="O11"/>
  <c r="P11"/>
  <c r="Q11"/>
  <c r="B11"/>
  <c r="E23"/>
  <c r="E11" s="1"/>
  <c r="C18" i="35" l="1"/>
  <c r="D18"/>
  <c r="E18"/>
  <c r="G18"/>
  <c r="H18"/>
  <c r="I18"/>
  <c r="J18"/>
  <c r="B18"/>
  <c r="I30"/>
  <c r="F30"/>
  <c r="C20" i="5"/>
  <c r="D20"/>
  <c r="G20"/>
  <c r="H20"/>
  <c r="K20"/>
  <c r="N20"/>
  <c r="Q20"/>
  <c r="K30" i="35" l="1"/>
  <c r="K18" s="1"/>
  <c r="F18"/>
  <c r="M32" i="5" l="1"/>
  <c r="M20" s="1"/>
  <c r="J32"/>
  <c r="J20" s="1"/>
  <c r="F32"/>
  <c r="F20" s="1"/>
  <c r="E32"/>
  <c r="E20" s="1"/>
  <c r="B20"/>
  <c r="O32" l="1"/>
  <c r="O20" s="1"/>
  <c r="L32"/>
  <c r="L20" s="1"/>
  <c r="I32"/>
  <c r="I20" l="1"/>
  <c r="P32"/>
  <c r="P20" l="1"/>
  <c r="R32"/>
  <c r="S32" l="1"/>
  <c r="S20" s="1"/>
  <c r="R20"/>
  <c r="J21" i="60" l="1"/>
  <c r="J22"/>
  <c r="E22"/>
  <c r="L21" i="61"/>
  <c r="F21"/>
  <c r="C16" i="45" l="1"/>
  <c r="D16"/>
  <c r="E16"/>
  <c r="F16"/>
  <c r="G16"/>
  <c r="H16"/>
  <c r="I16"/>
  <c r="J16"/>
  <c r="K16"/>
  <c r="L16"/>
  <c r="M16"/>
  <c r="N16"/>
  <c r="O16"/>
  <c r="P16"/>
  <c r="Q16"/>
  <c r="R16"/>
  <c r="S16"/>
  <c r="T16"/>
  <c r="B16"/>
  <c r="U28"/>
  <c r="BW19" i="58" l="1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K29" i="35" l="1"/>
  <c r="I29"/>
  <c r="F29"/>
  <c r="O31" i="5"/>
  <c r="M31"/>
  <c r="L31"/>
  <c r="J31"/>
  <c r="F31"/>
  <c r="I31" s="1"/>
  <c r="F30"/>
  <c r="B30"/>
  <c r="B31"/>
  <c r="E31" s="1"/>
  <c r="P31" l="1"/>
  <c r="R31" s="1"/>
  <c r="S31" s="1"/>
  <c r="U27" i="45" l="1"/>
  <c r="E21" i="60"/>
  <c r="L20" i="61"/>
  <c r="F20"/>
  <c r="O30" i="5"/>
  <c r="M30"/>
  <c r="J30"/>
  <c r="L30" s="1"/>
  <c r="I30"/>
  <c r="E30"/>
  <c r="I28" i="35"/>
  <c r="F28"/>
  <c r="P30" i="5" l="1"/>
  <c r="R30" s="1"/>
  <c r="S30" s="1"/>
  <c r="K28" i="35"/>
  <c r="I27" l="1"/>
  <c r="F27"/>
  <c r="I26"/>
  <c r="F26"/>
  <c r="I25"/>
  <c r="F25"/>
  <c r="I24"/>
  <c r="K24" s="1"/>
  <c r="F24"/>
  <c r="I23"/>
  <c r="F23"/>
  <c r="I22"/>
  <c r="F22"/>
  <c r="I21"/>
  <c r="F21"/>
  <c r="I20"/>
  <c r="F20"/>
  <c r="I19"/>
  <c r="F19"/>
  <c r="I7"/>
  <c r="F7"/>
  <c r="I6"/>
  <c r="F6"/>
  <c r="K6" l="1"/>
  <c r="K20"/>
  <c r="K22"/>
  <c r="K7"/>
  <c r="K21"/>
  <c r="K19"/>
  <c r="K27"/>
  <c r="K26"/>
  <c r="K25"/>
  <c r="K23"/>
  <c r="J20" i="60" l="1"/>
  <c r="E20"/>
  <c r="U26" i="45"/>
  <c r="L19" i="61" l="1"/>
  <c r="F19"/>
  <c r="M29" i="5"/>
  <c r="O29" s="1"/>
  <c r="L29"/>
  <c r="J29"/>
  <c r="I29"/>
  <c r="F29"/>
  <c r="E29"/>
  <c r="B29"/>
  <c r="P29" l="1"/>
  <c r="R29" s="1"/>
  <c r="S29" s="1"/>
  <c r="U25" i="45" l="1"/>
  <c r="I28" i="5" l="1"/>
  <c r="E28"/>
  <c r="M28"/>
  <c r="O28" s="1"/>
  <c r="L28"/>
  <c r="J28"/>
  <c r="F28"/>
  <c r="B28"/>
  <c r="J19" i="60"/>
  <c r="E19"/>
  <c r="F18" i="61"/>
  <c r="L18"/>
  <c r="R28" i="5" l="1"/>
  <c r="S28" s="1"/>
  <c r="P28"/>
  <c r="O27" l="1"/>
  <c r="M27"/>
  <c r="J27"/>
  <c r="L27" s="1"/>
  <c r="I27"/>
  <c r="F27"/>
  <c r="B27"/>
  <c r="E27" s="1"/>
  <c r="P27" l="1"/>
  <c r="R27" s="1"/>
  <c r="S27" s="1"/>
  <c r="U24" i="45"/>
  <c r="L17" i="61" l="1"/>
  <c r="F17"/>
  <c r="J18" i="60"/>
  <c r="E18"/>
  <c r="L16" i="61" l="1"/>
  <c r="F16"/>
  <c r="J17" i="60"/>
  <c r="E17"/>
  <c r="E16"/>
  <c r="U23" i="45" l="1"/>
  <c r="U22"/>
  <c r="I26" i="5" l="1"/>
  <c r="O26"/>
  <c r="M26"/>
  <c r="J26"/>
  <c r="L26" s="1"/>
  <c r="F26"/>
  <c r="B26"/>
  <c r="E26" s="1"/>
  <c r="P26" l="1"/>
  <c r="R26" s="1"/>
  <c r="S26" s="1"/>
  <c r="E4" i="63" l="1"/>
  <c r="J16" i="60" l="1"/>
  <c r="J15"/>
  <c r="E15"/>
  <c r="J14"/>
  <c r="E14"/>
  <c r="J13"/>
  <c r="E13"/>
  <c r="J12"/>
  <c r="E12"/>
  <c r="L15" i="61"/>
  <c r="F15"/>
  <c r="L14"/>
  <c r="F14"/>
  <c r="L13"/>
  <c r="F13"/>
  <c r="L12"/>
  <c r="F12"/>
  <c r="L11"/>
  <c r="F11"/>
  <c r="M25" i="5" l="1"/>
  <c r="O25" s="1"/>
  <c r="L25"/>
  <c r="J25"/>
  <c r="F25"/>
  <c r="I25" s="1"/>
  <c r="E25"/>
  <c r="B25"/>
  <c r="P25" l="1"/>
  <c r="R25" s="1"/>
  <c r="S25" s="1"/>
  <c r="M24" l="1"/>
  <c r="O24" s="1"/>
  <c r="L24"/>
  <c r="J24"/>
  <c r="F24"/>
  <c r="I24" s="1"/>
  <c r="E24"/>
  <c r="B24"/>
  <c r="B23"/>
  <c r="B22"/>
  <c r="B21"/>
  <c r="P24" l="1"/>
  <c r="R24" s="1"/>
  <c r="S24" s="1"/>
  <c r="U21" i="45" l="1"/>
  <c r="U20" l="1"/>
  <c r="U19"/>
  <c r="M23" i="5" l="1"/>
  <c r="O23" s="1"/>
  <c r="L23"/>
  <c r="J23"/>
  <c r="F23"/>
  <c r="I23" s="1"/>
  <c r="E23"/>
  <c r="P23" l="1"/>
  <c r="R23" s="1"/>
  <c r="S23" s="1"/>
  <c r="M22" l="1"/>
  <c r="O22" s="1"/>
  <c r="M21"/>
  <c r="O21" s="1"/>
  <c r="J22"/>
  <c r="L22" s="1"/>
  <c r="J21"/>
  <c r="L21" s="1"/>
  <c r="I21"/>
  <c r="F21"/>
  <c r="F22"/>
  <c r="I22" s="1"/>
  <c r="P21" l="1"/>
  <c r="R21" s="1"/>
  <c r="P22"/>
  <c r="R22" s="1"/>
  <c r="E22"/>
  <c r="E21"/>
  <c r="S22" l="1"/>
  <c r="S21"/>
  <c r="U18" i="45" l="1"/>
  <c r="U17" l="1"/>
  <c r="U16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<sst xmlns="http://schemas.openxmlformats.org/spreadsheetml/2006/main" count="8448" uniqueCount="2802">
  <si>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</si>
  <si>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</si>
  <si>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</si>
  <si>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</si>
  <si>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</si>
  <si>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</si>
  <si>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</si>
  <si>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</si>
  <si>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</si>
  <si>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</si>
  <si>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</si>
  <si>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</si>
  <si>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</si>
  <si>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</si>
  <si>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</si>
  <si>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</si>
  <si>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</si>
  <si>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</si>
  <si>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</si>
  <si>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</si>
  <si>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</si>
  <si>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</si>
  <si>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</si>
  <si>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</si>
  <si>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</si>
  <si>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</si>
  <si>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</si>
  <si>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</si>
  <si>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</si>
  <si>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</si>
  <si>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</si>
  <si>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</si>
  <si>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</si>
  <si>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</si>
  <si>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</si>
  <si>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</si>
  <si>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</si>
  <si>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</si>
  <si>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</si>
  <si>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</si>
  <si>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</si>
  <si>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</si>
  <si>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</si>
  <si>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</si>
  <si>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</si>
  <si>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</si>
  <si>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</si>
  <si>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</si>
  <si>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</si>
  <si>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</si>
  <si>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</si>
  <si>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</si>
  <si>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</si>
  <si>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</si>
  <si>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</si>
  <si>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</si>
  <si>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</si>
  <si>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</si>
  <si>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</si>
  <si>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</si>
  <si>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</si>
  <si>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</si>
  <si>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</si>
  <si>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</si>
  <si>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</si>
  <si>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</si>
  <si>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</si>
  <si>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</si>
  <si>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</si>
  <si>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</si>
  <si>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</si>
  <si>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</si>
  <si>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</si>
  <si>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</si>
  <si>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</si>
  <si>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</si>
  <si>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</si>
  <si>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</si>
  <si>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</si>
  <si>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</si>
  <si>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</si>
  <si>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</si>
  <si>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</si>
  <si>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</si>
  <si>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</si>
  <si>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</si>
  <si>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</si>
  <si>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</si>
  <si>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</si>
  <si>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</si>
  <si>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</si>
  <si>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</si>
  <si>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</si>
  <si>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</si>
  <si>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</si>
  <si>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</si>
  <si>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</si>
  <si>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</si>
  <si>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</si>
  <si>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</si>
  <si>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</si>
  <si>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</si>
  <si>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</si>
  <si>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</si>
  <si>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</si>
  <si>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</si>
  <si>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</si>
  <si>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</si>
  <si>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</si>
  <si>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</si>
  <si>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</si>
  <si>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</si>
  <si>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</si>
  <si>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</si>
  <si>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</si>
  <si>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</si>
  <si>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</si>
  <si>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</si>
  <si>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</si>
  <si>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</si>
  <si>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</si>
  <si>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</si>
  <si>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</si>
  <si>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</si>
  <si>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</si>
  <si>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</si>
  <si>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</si>
  <si>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</si>
  <si>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</si>
  <si>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</si>
  <si>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</si>
  <si>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</si>
  <si>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</si>
  <si>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</si>
  <si>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</si>
  <si>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</si>
  <si>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</si>
  <si>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</si>
  <si>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</si>
  <si>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</si>
  <si>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</si>
  <si>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</si>
  <si>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</si>
  <si>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</si>
  <si>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</si>
  <si>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</si>
  <si>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</si>
  <si>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</si>
  <si>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</si>
  <si>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</si>
  <si>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</si>
  <si>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</si>
  <si>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</si>
  <si>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</si>
  <si>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</si>
  <si>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</si>
  <si>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</si>
  <si>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</si>
  <si>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</si>
  <si>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</si>
  <si>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</si>
  <si>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</si>
  <si>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</si>
  <si>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</si>
  <si>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</si>
  <si>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</si>
  <si>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</si>
  <si>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</si>
  <si>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</si>
  <si>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</si>
  <si>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</si>
  <si>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</si>
  <si>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</si>
  <si>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</si>
  <si>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</si>
  <si>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</si>
  <si>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</si>
  <si>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</si>
  <si>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</si>
  <si>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</si>
  <si>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</si>
  <si>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</si>
  <si>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</si>
  <si>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</si>
  <si>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</si>
  <si>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</si>
  <si>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</si>
  <si>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</si>
  <si>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</si>
  <si>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</si>
  <si>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</si>
  <si>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</si>
  <si>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</si>
  <si>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</si>
  <si>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</si>
  <si>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</si>
  <si>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</si>
  <si>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</si>
  <si>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</si>
  <si>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</si>
  <si>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</si>
  <si>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</si>
  <si>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</si>
  <si>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</si>
  <si>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</si>
  <si>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</si>
  <si>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</si>
  <si>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</si>
  <si>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</si>
  <si>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</si>
  <si>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</si>
  <si>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</si>
  <si>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</si>
  <si>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</si>
  <si>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</si>
  <si>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</si>
  <si>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</si>
  <si>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</si>
  <si>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</si>
  <si>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</si>
  <si>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</si>
  <si>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</si>
  <si>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</si>
  <si>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</si>
  <si>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</si>
  <si>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</si>
  <si>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</si>
  <si>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</si>
  <si>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</si>
  <si>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</si>
  <si>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</si>
  <si>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</si>
  <si>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</si>
  <si>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</si>
  <si>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</si>
  <si>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</si>
  <si>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</si>
  <si>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</si>
  <si>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</si>
  <si>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</si>
  <si>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</si>
  <si>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</si>
  <si>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</si>
  <si>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</si>
  <si>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</si>
  <si>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</si>
  <si>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</si>
  <si>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</si>
  <si>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</si>
  <si>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</si>
  <si>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</si>
  <si>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</si>
  <si>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</si>
  <si>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</si>
  <si>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</si>
  <si>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</si>
  <si>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</si>
  <si>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</si>
  <si>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</si>
  <si>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</si>
  <si>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</si>
  <si>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</si>
  <si>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</si>
  <si>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</si>
  <si>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</si>
  <si>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</si>
  <si>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</si>
  <si>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</si>
  <si>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</si>
  <si>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</si>
  <si>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</si>
  <si>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</si>
  <si>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</si>
  <si>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</si>
  <si>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</si>
  <si>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</si>
  <si>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</si>
  <si>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</si>
  <si>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</si>
  <si>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</si>
  <si>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</si>
  <si>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</si>
  <si>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</si>
  <si>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</si>
  <si>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</si>
  <si>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</si>
  <si>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</si>
  <si>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</si>
  <si>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</si>
  <si>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</si>
  <si>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</si>
  <si>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</si>
  <si>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</si>
  <si>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</si>
  <si>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</si>
  <si>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</si>
  <si>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</si>
  <si>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</si>
  <si>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</si>
  <si>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</si>
  <si>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</si>
  <si>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</si>
  <si>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</si>
  <si>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</si>
  <si>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</si>
  <si>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</si>
  <si>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</si>
  <si>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</si>
  <si>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</si>
  <si>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</si>
  <si>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</si>
  <si>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</si>
  <si>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</si>
  <si>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</si>
  <si>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</si>
  <si>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</si>
  <si>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</si>
  <si>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</si>
  <si>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</si>
  <si>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</si>
  <si>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</si>
  <si>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</si>
  <si>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</si>
  <si>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</si>
  <si>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</si>
  <si>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</si>
  <si>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</si>
  <si>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</si>
  <si>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</si>
  <si>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</si>
  <si>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</si>
  <si>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</si>
  <si>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</si>
  <si>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</si>
  <si>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</si>
  <si>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</si>
  <si>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</si>
  <si>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</si>
  <si>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</si>
  <si>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</si>
  <si>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</si>
  <si>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</si>
  <si>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</si>
  <si>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</si>
  <si>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</si>
  <si>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</si>
  <si>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</si>
  <si>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</si>
  <si>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</si>
  <si>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</si>
  <si>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</si>
  <si>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</si>
  <si>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</si>
  <si>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</si>
  <si>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</si>
  <si>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</si>
  <si>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</si>
  <si>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</si>
  <si>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</si>
  <si>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</si>
  <si>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</si>
  <si>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</si>
  <si>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</si>
  <si>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</si>
  <si>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</si>
  <si>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</si>
  <si>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</si>
  <si>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</si>
  <si>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</si>
  <si>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</si>
  <si>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</si>
  <si>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</si>
  <si>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</si>
  <si>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</si>
  <si>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</si>
  <si>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</si>
  <si>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</si>
  <si>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</si>
  <si>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</si>
  <si>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</si>
  <si>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</si>
  <si>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</si>
  <si>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</si>
  <si>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</si>
  <si>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</si>
  <si>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</si>
  <si>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</si>
  <si>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</si>
  <si>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</si>
  <si>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</si>
  <si>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</si>
  <si>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</si>
  <si>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</si>
  <si>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</si>
  <si>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</si>
  <si>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</si>
  <si>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</si>
  <si>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</si>
  <si>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</si>
  <si>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</si>
  <si>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</si>
  <si>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</si>
  <si>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</si>
  <si>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</si>
  <si>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</si>
  <si>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</si>
  <si>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</si>
  <si>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</si>
  <si>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</si>
  <si>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</si>
  <si>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</si>
  <si>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</si>
  <si>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</si>
  <si>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</si>
  <si>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</si>
  <si>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</si>
  <si>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</si>
  <si>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</si>
  <si>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</si>
  <si>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</si>
  <si>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</si>
  <si>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</si>
  <si>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</si>
  <si>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</si>
  <si>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</si>
  <si>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</si>
  <si>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</si>
  <si>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</si>
  <si>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</si>
  <si>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</si>
  <si>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</si>
  <si>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</si>
  <si>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</si>
  <si>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</si>
  <si>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</si>
  <si>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</si>
  <si>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</si>
  <si>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</si>
  <si>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</si>
  <si>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</si>
  <si>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</si>
  <si>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</si>
  <si>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</si>
  <si>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</si>
  <si>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</si>
  <si>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</si>
  <si>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</si>
  <si>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</si>
  <si>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</si>
  <si>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</si>
  <si>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</si>
  <si>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</si>
  <si>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</si>
  <si>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</si>
  <si>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</si>
  <si>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</si>
  <si>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</si>
  <si>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</si>
  <si>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</si>
  <si>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</si>
  <si>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</si>
  <si>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</si>
  <si>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</si>
  <si>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</si>
  <si>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</si>
  <si>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</si>
  <si>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</si>
  <si>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</si>
  <si>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</si>
  <si>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</si>
  <si>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</si>
  <si>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</si>
  <si>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</si>
  <si>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</si>
  <si>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</si>
  <si>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</si>
  <si>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</si>
  <si>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</si>
  <si>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</si>
  <si>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</si>
  <si>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</si>
  <si>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</si>
  <si>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</si>
  <si>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</si>
  <si>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</si>
  <si>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</si>
  <si>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</si>
  <si>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</si>
  <si>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</si>
  <si>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</si>
  <si>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</si>
  <si>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</si>
  <si>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</si>
  <si>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</si>
  <si>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</si>
  <si>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</si>
  <si>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</si>
  <si>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</si>
  <si>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</si>
  <si>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</si>
  <si>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</si>
  <si>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</si>
  <si>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</si>
  <si>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</si>
  <si>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</si>
  <si>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</si>
  <si>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</si>
  <si>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</si>
  <si>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</si>
  <si>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</si>
  <si>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</si>
  <si>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</si>
  <si>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</si>
  <si>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</si>
  <si>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</si>
  <si>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</si>
  <si>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</si>
  <si>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</si>
  <si>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</si>
  <si>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</si>
  <si>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</si>
  <si>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</si>
  <si>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</si>
  <si>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</si>
  <si>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</si>
  <si>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</si>
  <si>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</si>
  <si>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</si>
  <si>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</si>
  <si>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</si>
  <si>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</si>
  <si>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</si>
  <si>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</si>
  <si>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</si>
  <si>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</si>
  <si>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</si>
  <si>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</si>
  <si>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</si>
  <si>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</si>
  <si>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</si>
  <si>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</si>
  <si>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</si>
  <si>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</si>
  <si>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</si>
  <si>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</si>
  <si>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</si>
  <si>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</si>
  <si>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</si>
  <si>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</si>
  <si>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</si>
  <si>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</si>
  <si>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</si>
  <si>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</si>
  <si>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</si>
  <si>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</si>
  <si>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</si>
  <si>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</si>
  <si>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</si>
  <si>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</si>
  <si>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</si>
  <si>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</si>
  <si>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</si>
  <si>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</si>
  <si>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</si>
  <si>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</si>
  <si>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</si>
  <si>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</si>
  <si>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</si>
  <si>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</si>
  <si>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</si>
  <si>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</si>
  <si>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</si>
  <si>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</si>
  <si>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</si>
  <si>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</si>
  <si>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</si>
  <si>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</si>
  <si>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</si>
  <si>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</si>
  <si>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</si>
  <si>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</si>
  <si>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</si>
  <si>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</si>
  <si>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</si>
  <si>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</si>
  <si>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</si>
  <si>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</si>
  <si>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</si>
  <si>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</si>
  <si>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</si>
  <si>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</si>
  <si>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</si>
  <si>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</si>
  <si>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</si>
  <si>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</si>
  <si>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</si>
  <si>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</si>
  <si>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</si>
  <si>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</si>
  <si>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</si>
  <si>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</si>
  <si>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</si>
  <si>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</si>
  <si>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</si>
  <si>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</si>
  <si>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</si>
  <si>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</si>
  <si>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</si>
  <si>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</si>
  <si>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</si>
  <si>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</si>
  <si>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</si>
  <si>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</si>
  <si>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</si>
  <si>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</si>
  <si>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</si>
  <si>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</si>
  <si>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</si>
  <si>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</si>
  <si>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</si>
  <si>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</si>
  <si>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</si>
  <si>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</si>
  <si>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</si>
  <si>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</si>
  <si>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</si>
  <si>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</si>
  <si>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</si>
  <si>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</si>
  <si>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</si>
  <si>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</si>
  <si>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</si>
  <si>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</si>
  <si>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</si>
  <si>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</si>
  <si>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</si>
  <si>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</si>
  <si>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</si>
  <si>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</si>
  <si>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</si>
  <si>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</si>
  <si>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</si>
  <si>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</si>
  <si>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</si>
  <si>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</si>
  <si>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</si>
  <si>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</si>
  <si>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</si>
  <si>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</si>
  <si>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</si>
  <si>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</si>
  <si>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</si>
  <si>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</si>
  <si>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</si>
  <si>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</si>
  <si>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</si>
  <si>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</si>
  <si>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</si>
  <si>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</si>
  <si>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</si>
  <si>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</si>
  <si>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</si>
  <si>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</si>
  <si>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</si>
  <si>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</si>
  <si>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</si>
  <si>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</si>
  <si>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</si>
  <si>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</si>
  <si>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</si>
  <si>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</si>
  <si>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</si>
  <si>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</si>
  <si>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</si>
  <si>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</si>
  <si>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</si>
  <si>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</si>
  <si>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</si>
  <si>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</si>
  <si>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</si>
  <si>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</si>
  <si>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</si>
  <si>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</si>
  <si>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</si>
  <si>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</si>
  <si>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</si>
  <si>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</si>
  <si>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</si>
  <si>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</si>
  <si>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</si>
  <si>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</si>
  <si>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</si>
  <si>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</si>
  <si>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</si>
  <si>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</si>
  <si>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</si>
  <si>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</si>
  <si>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</si>
  <si>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</si>
  <si>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</si>
  <si>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</si>
  <si>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</si>
  <si>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</si>
  <si>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</si>
  <si>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</si>
  <si>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</si>
  <si>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</si>
  <si>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</si>
  <si>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</si>
  <si>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</si>
  <si>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</si>
  <si>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</si>
  <si>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</si>
  <si>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</si>
  <si>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</si>
  <si>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</si>
  <si>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</si>
  <si>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</si>
  <si>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</si>
  <si>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</si>
  <si>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</si>
  <si>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</si>
  <si>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</si>
  <si>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</si>
  <si>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</si>
  <si>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</si>
  <si>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</si>
  <si>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</si>
  <si>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</si>
  <si>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</si>
  <si>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</si>
  <si>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</si>
  <si>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</si>
  <si>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</si>
  <si>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</si>
  <si>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</si>
  <si>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</si>
  <si>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</si>
  <si>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</si>
  <si>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</si>
  <si>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</si>
  <si>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</si>
  <si>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</si>
  <si>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</si>
  <si>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</si>
  <si>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</si>
  <si>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</si>
  <si>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</si>
  <si>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</si>
  <si>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</si>
  <si>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</si>
  <si>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</si>
  <si>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</si>
  <si>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</si>
  <si>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</si>
  <si>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</si>
  <si>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</si>
  <si>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</si>
  <si>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</si>
  <si>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</si>
  <si>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</si>
  <si>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</si>
  <si>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</si>
  <si>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</si>
  <si>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</si>
  <si>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</si>
  <si>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</si>
  <si>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</si>
  <si>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</si>
  <si>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</si>
  <si>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</si>
  <si>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</si>
  <si>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</si>
  <si>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</si>
  <si>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</si>
  <si>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</si>
  <si>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</si>
  <si>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</si>
  <si>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</si>
  <si>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</si>
  <si>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</si>
  <si>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</si>
  <si>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</si>
  <si>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</si>
  <si>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</si>
  <si>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</si>
  <si>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</si>
  <si>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</si>
  <si>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</si>
  <si>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</si>
  <si>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</si>
  <si>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</si>
  <si>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</si>
  <si>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</si>
  <si>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</si>
  <si>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</si>
  <si>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</si>
  <si>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</si>
  <si>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</si>
  <si>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</si>
  <si>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</si>
  <si>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</si>
  <si>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</si>
  <si>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</si>
  <si>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</si>
  <si>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</si>
  <si>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</si>
  <si>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</si>
  <si>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</si>
  <si>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</si>
  <si>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</si>
  <si>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</si>
  <si>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</si>
  <si>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</si>
  <si>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</si>
  <si>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</si>
  <si>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</si>
  <si>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</si>
  <si>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</si>
  <si>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</si>
  <si>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</si>
  <si>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</si>
  <si>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</si>
  <si>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</si>
  <si>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</si>
  <si>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</si>
  <si>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</si>
  <si>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</si>
  <si>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</si>
  <si>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</si>
  <si>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</si>
  <si>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</si>
  <si>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</si>
  <si>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</si>
  <si>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</si>
  <si>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</si>
  <si>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</si>
  <si>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</si>
  <si>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</si>
  <si>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</si>
  <si>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</si>
  <si>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</si>
  <si>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</si>
  <si>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</si>
  <si>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</si>
  <si>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</si>
  <si>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</si>
  <si>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</si>
  <si>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</si>
  <si>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</si>
  <si>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</si>
  <si>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</si>
  <si>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</si>
  <si>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</si>
  <si>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</si>
  <si>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</si>
  <si>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</si>
  <si>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</si>
  <si>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</si>
  <si>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</si>
  <si>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</si>
  <si>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</si>
  <si>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</si>
  <si>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</si>
  <si>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</si>
  <si>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</si>
  <si>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</si>
  <si>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</si>
  <si>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</si>
  <si>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</si>
  <si>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</si>
  <si>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</si>
  <si>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</si>
  <si>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</si>
  <si>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</si>
  <si>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</si>
  <si>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</si>
  <si>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</si>
  <si>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</si>
  <si>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</si>
  <si>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</si>
  <si>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</si>
  <si>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</si>
  <si>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</si>
  <si>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</si>
  <si>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</si>
  <si>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</si>
  <si>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</si>
  <si>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</si>
  <si>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</si>
  <si>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</si>
  <si>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</si>
  <si>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</si>
  <si>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</si>
  <si>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</si>
  <si>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</si>
  <si>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</si>
  <si>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</si>
  <si>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</si>
  <si>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</si>
  <si>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</si>
  <si>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</si>
  <si>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</si>
  <si>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</si>
  <si>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</si>
  <si>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</si>
  <si>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</si>
  <si>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</si>
  <si>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</si>
  <si>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</si>
  <si>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</si>
  <si>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</si>
  <si>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</si>
  <si>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</si>
  <si>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</si>
  <si>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</si>
  <si>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</si>
  <si>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</si>
  <si>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</si>
  <si>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</si>
  <si>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</si>
  <si>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</si>
  <si>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</si>
  <si>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</si>
  <si>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</si>
  <si>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</si>
  <si>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</si>
  <si>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</si>
  <si>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</si>
  <si>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</si>
  <si>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</si>
  <si>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</si>
  <si>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</si>
  <si>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</si>
  <si>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</si>
  <si>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</si>
  <si>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</si>
  <si>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</si>
  <si>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</si>
  <si>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</si>
  <si>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</si>
  <si>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</si>
  <si>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</si>
  <si>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</si>
  <si>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</si>
  <si>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</si>
  <si>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</si>
  <si>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</si>
  <si>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</si>
  <si>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</si>
  <si>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</si>
  <si>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</si>
  <si>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</si>
  <si>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</si>
  <si>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</si>
  <si>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</si>
  <si>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</si>
  <si>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</si>
  <si>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</si>
  <si>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</si>
  <si>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</si>
  <si>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</si>
  <si>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</si>
  <si>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</si>
  <si>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</si>
  <si>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</si>
  <si>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</si>
  <si>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</si>
  <si>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</si>
  <si>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</si>
  <si>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</si>
  <si>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</si>
  <si>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</si>
  <si>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</si>
  <si>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</si>
  <si>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</si>
  <si>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</si>
  <si>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</si>
  <si>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</si>
  <si>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</si>
  <si>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</si>
  <si>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</si>
  <si>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</si>
  <si>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</si>
  <si>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</si>
  <si>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</si>
  <si>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</si>
  <si>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</si>
  <si>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</si>
  <si>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</si>
  <si>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</si>
  <si>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</si>
  <si>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</si>
  <si>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</si>
  <si>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</si>
  <si>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</si>
  <si>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</si>
  <si>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</si>
  <si>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</si>
  <si>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</si>
  <si>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</si>
  <si>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</si>
  <si>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</si>
  <si>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</si>
  <si>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</si>
  <si>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</si>
  <si>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</si>
  <si>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</si>
  <si>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</si>
  <si>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</si>
  <si>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</si>
  <si>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</si>
  <si>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</si>
  <si>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</si>
  <si>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</si>
  <si>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</si>
  <si>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</si>
  <si>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</si>
  <si>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</si>
  <si>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</si>
  <si>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</si>
  <si>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</si>
  <si>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</si>
  <si>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</si>
  <si>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</si>
  <si>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</si>
  <si>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</si>
  <si>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</si>
  <si>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</si>
  <si>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</si>
  <si>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</si>
  <si>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</si>
  <si>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</si>
  <si>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</si>
  <si>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</si>
  <si>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</si>
  <si>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</si>
  <si>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</si>
  <si>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</si>
  <si>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</si>
  <si>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</si>
  <si>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</si>
  <si>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</si>
  <si>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</si>
  <si>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</si>
  <si>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</si>
  <si>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</si>
  <si>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</si>
  <si>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</si>
  <si>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</si>
  <si>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</si>
  <si>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</si>
  <si>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</si>
  <si>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</si>
  <si>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</si>
  <si>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</si>
  <si>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</si>
  <si>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</si>
  <si>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</si>
  <si>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</si>
  <si>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</si>
  <si>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</si>
  <si>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</si>
  <si>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</si>
  <si>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</si>
  <si>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</si>
  <si>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</si>
  <si>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</si>
  <si>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</si>
  <si>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</si>
  <si>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</si>
  <si>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</si>
  <si>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</si>
  <si>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</si>
  <si>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</si>
  <si>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</si>
  <si>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</si>
  <si>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</si>
  <si>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</si>
  <si>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</si>
  <si>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</si>
  <si>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</si>
  <si>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</si>
  <si>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</si>
  <si>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</si>
  <si>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</si>
  <si>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</si>
  <si>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</si>
  <si>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</si>
  <si>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</si>
  <si>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</si>
  <si>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</si>
  <si>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</si>
  <si>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</si>
  <si>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</si>
  <si>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</si>
  <si>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</si>
  <si>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</si>
  <si>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</si>
  <si>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</si>
  <si>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</si>
  <si>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</si>
  <si>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</si>
  <si>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</si>
  <si>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</si>
  <si>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</si>
  <si>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</si>
  <si>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</si>
  <si>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</si>
  <si>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</si>
  <si>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</si>
  <si>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</si>
  <si>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</si>
  <si>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</si>
  <si>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</si>
  <si>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</si>
  <si>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</si>
  <si>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</si>
  <si>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</si>
  <si>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</si>
  <si>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</si>
  <si>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</si>
  <si>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</si>
  <si>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</si>
  <si>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</si>
  <si>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</si>
  <si>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</si>
  <si>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</si>
  <si>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</si>
  <si>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</si>
  <si>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</si>
  <si>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</si>
  <si>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</si>
  <si>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</si>
  <si>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</si>
  <si>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</si>
  <si>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</si>
  <si>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</si>
  <si>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</si>
  <si>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</si>
  <si>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</si>
  <si>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</si>
  <si>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</si>
  <si>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</si>
  <si>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</si>
  <si>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</si>
  <si>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</si>
  <si>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</si>
  <si>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</si>
  <si>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</si>
  <si>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</si>
  <si>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</si>
  <si>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</si>
  <si>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</si>
  <si>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</si>
  <si>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</si>
  <si>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</si>
  <si>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</si>
  <si>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</si>
  <si>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</si>
  <si>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</si>
  <si>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</si>
  <si>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</si>
  <si>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</si>
  <si>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</si>
  <si>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</si>
  <si>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</si>
  <si>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</si>
  <si>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</si>
  <si>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</si>
  <si>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</si>
  <si>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</si>
  <si>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</si>
  <si>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</si>
  <si>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</si>
  <si>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</si>
  <si>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</si>
  <si>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</si>
  <si>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</si>
  <si>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</si>
  <si>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</si>
  <si>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</si>
  <si>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</si>
  <si>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</si>
  <si>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</si>
  <si>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</si>
  <si>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</si>
  <si>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</si>
  <si>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</si>
  <si>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</si>
  <si>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</si>
  <si>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</si>
  <si>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</si>
  <si>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</si>
  <si>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</si>
  <si>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</si>
  <si>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</si>
  <si>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</si>
  <si>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</si>
  <si>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</si>
  <si>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</si>
  <si>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</si>
  <si>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</si>
  <si>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</si>
  <si>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</si>
  <si>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</si>
  <si>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</si>
  <si>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</si>
  <si>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</si>
  <si>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</si>
  <si>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</si>
  <si>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</si>
  <si>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</si>
  <si>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</si>
  <si>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</si>
  <si>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</si>
  <si>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</si>
  <si>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</si>
  <si>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</si>
  <si>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</si>
  <si>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</si>
  <si>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</si>
  <si>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</si>
  <si>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</si>
  <si>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</si>
  <si>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</si>
  <si>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</si>
  <si>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</si>
  <si>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</si>
  <si>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</si>
  <si>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</si>
  <si>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</si>
  <si>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</si>
  <si>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</si>
  <si>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</si>
  <si>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</si>
  <si>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</si>
  <si>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</si>
  <si>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</si>
  <si>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</si>
  <si>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</si>
  <si>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</si>
  <si>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</si>
  <si>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</si>
  <si>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</si>
  <si>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</si>
  <si>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</si>
  <si>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</si>
  <si>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</si>
  <si>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</si>
  <si>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</si>
  <si>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</si>
  <si>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</si>
  <si>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</si>
  <si>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</si>
  <si>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</si>
  <si>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</si>
  <si>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</si>
  <si>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</si>
  <si>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</si>
  <si>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</si>
  <si>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</si>
  <si>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</si>
  <si>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</si>
  <si>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</si>
  <si>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</si>
  <si>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</si>
  <si>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</si>
  <si>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</si>
  <si>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</si>
  <si>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</si>
  <si>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</si>
  <si>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</si>
  <si>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</si>
  <si>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</si>
  <si>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</si>
  <si>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</si>
  <si>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</si>
  <si>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</si>
  <si>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</si>
  <si>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</si>
  <si>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</si>
  <si>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</si>
  <si>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</si>
  <si>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</si>
  <si>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</si>
  <si>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</si>
  <si>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</si>
  <si>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</si>
  <si>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</si>
  <si>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</si>
  <si>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</si>
  <si>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</si>
  <si>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</si>
  <si>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</si>
  <si>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</si>
  <si>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</si>
  <si>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</si>
  <si>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</si>
  <si>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</si>
  <si>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</si>
  <si>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</si>
  <si>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</si>
  <si>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</si>
  <si>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</si>
  <si>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</si>
  <si>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</si>
  <si>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</si>
  <si>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</si>
  <si>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</si>
  <si>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</si>
  <si>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</si>
  <si>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</si>
  <si>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</si>
  <si>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</si>
  <si>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</si>
  <si>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</si>
  <si>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</si>
  <si>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</si>
  <si>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</si>
  <si>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</si>
  <si>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</si>
  <si>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</si>
  <si>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</si>
  <si>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</si>
  <si>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</si>
  <si>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</si>
  <si>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</si>
  <si>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</si>
  <si>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</si>
  <si>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</si>
  <si>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</si>
  <si>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</si>
  <si>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</si>
  <si>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</si>
  <si>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</si>
  <si>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</si>
  <si>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</si>
  <si>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</si>
  <si>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</si>
  <si>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</si>
  <si>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</si>
  <si>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</si>
  <si>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</si>
  <si>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</si>
  <si>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</si>
  <si>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</si>
  <si>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</si>
  <si>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</si>
  <si>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</si>
  <si>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</si>
  <si>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</si>
  <si>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</si>
  <si>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</si>
  <si>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</si>
  <si>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</si>
  <si>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</si>
  <si>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</si>
  <si>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</si>
  <si>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</si>
  <si>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</si>
  <si>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</si>
  <si>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</si>
  <si>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</si>
  <si>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</si>
  <si>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</si>
  <si>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</si>
  <si>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</si>
  <si>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</si>
  <si>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</si>
  <si>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</si>
  <si>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</si>
  <si>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</si>
  <si>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</si>
  <si>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</si>
  <si>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</si>
  <si>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</si>
  <si>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</si>
  <si>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</si>
  <si>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</si>
  <si>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</si>
  <si>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</si>
  <si>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</si>
  <si>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</si>
  <si>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</si>
  <si>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</si>
  <si>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</si>
  <si>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</si>
  <si>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</si>
  <si>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</si>
  <si>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</si>
  <si>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</si>
  <si>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</si>
  <si>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</si>
  <si>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</si>
  <si>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</si>
  <si>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</si>
  <si>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</si>
  <si>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</si>
  <si>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</si>
  <si>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</si>
  <si>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</si>
  <si>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</si>
  <si>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</si>
  <si>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</si>
  <si>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</si>
  <si>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</si>
  <si>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</si>
  <si>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</si>
  <si>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</si>
  <si>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</si>
  <si>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</si>
  <si>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</si>
  <si>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</si>
  <si>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</si>
  <si>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</si>
  <si>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</si>
  <si>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</si>
  <si>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</si>
  <si>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</si>
  <si>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</si>
  <si>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</si>
  <si>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</si>
  <si>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</si>
  <si>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</si>
  <si>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</si>
  <si>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</si>
  <si>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</si>
  <si>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</si>
  <si>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</si>
  <si>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</si>
  <si>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</si>
  <si>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</si>
  <si>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</si>
  <si>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</si>
  <si>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</si>
  <si>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</si>
  <si>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</si>
  <si>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</si>
  <si>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</si>
  <si>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</si>
  <si>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</si>
  <si>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</si>
  <si>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</si>
  <si>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</si>
  <si>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</si>
  <si>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</si>
  <si>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</si>
  <si>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</si>
  <si>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</si>
  <si>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</si>
  <si>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</si>
  <si>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</si>
  <si>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</si>
  <si>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</si>
  <si>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</si>
  <si>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</si>
  <si>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</si>
  <si>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</si>
  <si>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</si>
  <si>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</si>
  <si>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</si>
  <si>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</si>
  <si>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</si>
  <si>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</si>
  <si>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</si>
  <si>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</si>
  <si>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</si>
  <si>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</si>
  <si>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</si>
  <si>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</si>
  <si>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</si>
  <si>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</si>
  <si>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</si>
  <si>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</si>
  <si>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</si>
  <si>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</si>
  <si>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</si>
  <si>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</si>
  <si>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</si>
  <si>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</si>
  <si>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</si>
  <si>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</si>
  <si>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</si>
  <si>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</si>
  <si>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</si>
  <si>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</si>
  <si>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</si>
  <si>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</si>
  <si>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</si>
  <si>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</si>
  <si>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</si>
  <si>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</si>
  <si>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</si>
  <si>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</si>
  <si>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</si>
  <si>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</si>
  <si>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</si>
  <si>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</si>
  <si>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</si>
  <si>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</si>
  <si>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</si>
  <si>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</si>
  <si>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</si>
  <si>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</si>
  <si>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</si>
  <si>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</si>
  <si>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</si>
  <si>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</si>
  <si>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</si>
  <si>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</si>
  <si>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</si>
  <si>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</si>
  <si>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</si>
  <si>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</si>
  <si>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</si>
  <si>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</si>
  <si>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</si>
  <si>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</si>
  <si>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</si>
  <si>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</si>
  <si>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</si>
  <si>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</si>
  <si>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</si>
  <si>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</si>
  <si>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</si>
  <si>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</si>
  <si>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</si>
  <si>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</si>
  <si>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</si>
  <si>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</si>
  <si>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</si>
  <si>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</si>
  <si>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</si>
  <si>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</si>
  <si>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</si>
  <si>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</si>
  <si>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</si>
  <si>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</si>
  <si>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</si>
  <si>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</si>
  <si>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</si>
  <si>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</si>
  <si>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</si>
  <si>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</si>
  <si>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</si>
  <si>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</si>
  <si>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</si>
  <si>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</si>
  <si>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</si>
  <si>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</si>
  <si>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</si>
  <si>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</si>
  <si>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</si>
  <si>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</si>
  <si>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</si>
  <si>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</si>
  <si>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</si>
  <si>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</si>
  <si>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</si>
  <si>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</si>
  <si>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</si>
  <si>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</si>
  <si>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</si>
  <si>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</si>
  <si>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</si>
  <si>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</si>
  <si>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</si>
  <si>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</si>
  <si>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</si>
  <si>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</si>
  <si>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</si>
  <si>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</si>
  <si>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</si>
  <si>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</si>
  <si>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</si>
  <si>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</si>
  <si>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>1.00</t>
  </si>
  <si>
    <t>7.00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</si>
  <si>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</si>
  <si>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</si>
  <si>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</si>
  <si>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</si>
  <si>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</si>
  <si>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</si>
  <si>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</si>
  <si>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</si>
  <si>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</si>
  <si>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</si>
  <si>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</si>
  <si>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</si>
  <si>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</si>
  <si>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</si>
  <si>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</si>
  <si>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</si>
  <si>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</si>
  <si>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</si>
  <si>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</si>
  <si>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</si>
  <si>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</si>
  <si>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</si>
  <si>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</si>
  <si>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</si>
  <si>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</si>
  <si>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</si>
  <si>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</si>
  <si>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</si>
  <si>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</si>
  <si>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</si>
  <si>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</si>
  <si>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</si>
  <si>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</si>
  <si>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</si>
  <si>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</si>
  <si>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</si>
  <si>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</si>
  <si>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</si>
  <si>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</si>
  <si>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</si>
  <si>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</si>
  <si>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</si>
  <si>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</si>
  <si>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</si>
  <si>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</si>
  <si>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</si>
  <si>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</si>
  <si>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</si>
  <si>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</si>
  <si>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</si>
  <si>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</si>
  <si>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</si>
  <si>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</si>
  <si>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</si>
  <si>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</si>
  <si>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</si>
  <si>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</si>
  <si>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</si>
  <si>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</si>
  <si>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</si>
  <si>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</si>
  <si>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</si>
  <si>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</si>
  <si>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</si>
  <si>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</si>
  <si>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</si>
  <si>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</si>
  <si>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</si>
  <si>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</si>
  <si>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</si>
  <si>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</si>
  <si>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</si>
  <si>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</si>
  <si>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</si>
  <si>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</si>
  <si>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</si>
  <si>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</si>
  <si>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</si>
  <si>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</si>
  <si>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</si>
  <si>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</si>
  <si>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</si>
  <si>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</si>
  <si>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</si>
  <si>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</si>
  <si>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</si>
  <si>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</si>
  <si>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</si>
  <si>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</si>
  <si>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</si>
  <si>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</si>
  <si>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</si>
  <si>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</si>
  <si>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</si>
  <si>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</si>
  <si>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</si>
  <si>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</si>
  <si>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</si>
  <si>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</si>
  <si>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</si>
  <si>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</si>
  <si>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</si>
  <si>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</si>
  <si>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</si>
  <si>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</si>
  <si>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</si>
  <si>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</si>
  <si>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</si>
  <si>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</si>
  <si>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</si>
  <si>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</si>
  <si>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</si>
  <si>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</si>
  <si>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</si>
  <si>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</si>
  <si>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</si>
  <si>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</si>
  <si>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</si>
  <si>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</si>
  <si>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</si>
  <si>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</si>
  <si>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</si>
  <si>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</si>
  <si>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</si>
  <si>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</si>
  <si>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</si>
  <si>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</si>
  <si>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</si>
  <si>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</si>
  <si>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</si>
  <si>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</si>
  <si>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</si>
  <si>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</si>
  <si>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</si>
  <si>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</si>
  <si>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</si>
  <si>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</si>
  <si>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</si>
  <si>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</si>
  <si>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</si>
  <si>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</si>
  <si>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</si>
  <si>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</si>
  <si>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</si>
  <si>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</si>
  <si>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</si>
  <si>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</si>
  <si>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</si>
  <si>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</si>
  <si>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</si>
  <si>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</si>
  <si>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</si>
  <si>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</si>
  <si>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</si>
  <si>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</si>
  <si>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</si>
  <si>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</si>
  <si>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</si>
  <si>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</si>
  <si>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</si>
  <si>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</si>
  <si>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</si>
  <si>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</si>
  <si>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</si>
  <si>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</si>
  <si>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</si>
  <si>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</si>
  <si>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</si>
  <si>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</si>
  <si>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</si>
  <si>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</si>
  <si>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</si>
  <si>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</si>
  <si>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</si>
  <si>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</si>
  <si>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</si>
  <si>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</si>
  <si>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</si>
  <si>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</si>
  <si>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</si>
  <si>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</si>
  <si>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</si>
  <si>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</si>
  <si>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</si>
  <si>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</si>
  <si>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</si>
  <si>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</si>
  <si>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</si>
  <si>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</si>
  <si>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</si>
  <si>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</si>
  <si>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</si>
  <si>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</si>
  <si>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</si>
  <si>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</si>
  <si>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</si>
  <si>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</si>
  <si>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</si>
  <si>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</si>
  <si>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</si>
  <si>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</si>
  <si>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</si>
  <si>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</si>
  <si>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</si>
  <si>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</si>
  <si>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</si>
  <si>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</si>
  <si>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</si>
  <si>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</si>
  <si>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</si>
  <si>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</si>
  <si>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</si>
  <si>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</si>
  <si>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</si>
  <si>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</si>
  <si>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</si>
  <si>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</si>
  <si>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</si>
  <si>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</si>
  <si>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</si>
  <si>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</si>
  <si>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</si>
  <si>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</si>
  <si>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</si>
  <si>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</si>
  <si>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</si>
  <si>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</si>
  <si>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</si>
  <si>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</si>
  <si>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</si>
  <si>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</si>
  <si>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</si>
  <si>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</si>
  <si>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</si>
  <si>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</si>
  <si>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</si>
  <si>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</si>
  <si>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</si>
  <si>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</si>
  <si>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</si>
  <si>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</si>
  <si>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</si>
  <si>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</si>
  <si>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</si>
  <si>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</si>
  <si>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</si>
  <si>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</si>
  <si>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</si>
  <si>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</si>
  <si>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</si>
  <si>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</si>
  <si>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</si>
  <si>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</si>
  <si>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</si>
  <si>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</si>
  <si>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</si>
  <si>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</si>
  <si>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</si>
  <si>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</si>
  <si>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</si>
  <si>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</si>
  <si>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</si>
  <si>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</si>
  <si>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</si>
  <si>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</si>
  <si>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</si>
  <si>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</si>
  <si>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</si>
  <si>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</si>
  <si>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</si>
  <si>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</si>
  <si>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</si>
  <si>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</si>
  <si>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</si>
  <si>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</si>
  <si>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</si>
  <si>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</si>
  <si>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</si>
  <si>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</si>
  <si>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</si>
  <si>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</si>
  <si>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</si>
  <si>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</si>
  <si>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</si>
  <si>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</si>
  <si>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</si>
  <si>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</si>
  <si>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</si>
  <si>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</si>
  <si>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</si>
  <si>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</si>
  <si>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</si>
  <si>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</si>
  <si>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</si>
  <si>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</si>
  <si>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</si>
  <si>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</si>
  <si>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</si>
  <si>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</si>
  <si>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</si>
  <si>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</si>
  <si>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</si>
  <si>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</si>
  <si>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</si>
  <si>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</si>
  <si>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</si>
  <si>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</si>
  <si>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</si>
  <si>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</si>
  <si>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</si>
  <si>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</si>
  <si>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</si>
  <si>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</si>
  <si>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</si>
  <si>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</si>
  <si>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</si>
  <si>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</si>
  <si>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</si>
  <si>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</si>
  <si>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</si>
  <si>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</si>
  <si>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</si>
  <si>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</si>
  <si>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</si>
  <si>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</si>
  <si>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</si>
  <si>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</si>
  <si>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</si>
  <si>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</si>
  <si>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</si>
  <si>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</si>
  <si>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</si>
  <si>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</si>
  <si>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</si>
  <si>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</si>
  <si>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</si>
  <si>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</si>
  <si>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</si>
  <si>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</si>
  <si>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</si>
  <si>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</si>
  <si>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</si>
  <si>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</si>
  <si>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</si>
  <si>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</si>
  <si>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</si>
  <si>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</si>
  <si>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</si>
  <si>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</si>
  <si>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</si>
  <si>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</si>
  <si>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</si>
  <si>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</si>
  <si>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</si>
  <si>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</si>
  <si>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</si>
  <si>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</si>
  <si>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</si>
  <si>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</si>
  <si>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</si>
  <si>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</si>
  <si>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</si>
  <si>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</si>
  <si>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</si>
  <si>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</si>
  <si>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</si>
  <si>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</si>
  <si>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</si>
  <si>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</si>
  <si>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</si>
  <si>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</si>
  <si>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</si>
  <si>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</si>
  <si>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</si>
  <si>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</si>
  <si>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</si>
  <si>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</si>
  <si>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</si>
  <si>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</si>
  <si>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</si>
  <si>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</si>
  <si>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</si>
  <si>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</si>
  <si>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</si>
  <si>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</si>
  <si>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</si>
  <si>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</si>
  <si>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</si>
  <si>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</si>
  <si>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</si>
  <si>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</si>
  <si>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</si>
  <si>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</si>
  <si>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</si>
  <si>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</si>
  <si>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</si>
  <si>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</si>
  <si>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</si>
  <si>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</si>
  <si>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</si>
  <si>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</si>
  <si>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</si>
  <si>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</si>
  <si>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</si>
  <si>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</si>
  <si>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</si>
  <si>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</si>
  <si>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</si>
  <si>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</si>
  <si>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</si>
  <si>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</si>
  <si>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</si>
  <si>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</si>
  <si>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</si>
  <si>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</si>
  <si>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</si>
  <si>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</si>
  <si>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</si>
  <si>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</si>
  <si>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</si>
  <si>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</si>
  <si>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</si>
  <si>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</si>
  <si>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</si>
  <si>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</si>
  <si>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</si>
  <si>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</si>
  <si>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</si>
  <si>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</si>
  <si>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</si>
  <si>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</si>
  <si>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</si>
  <si>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</si>
  <si>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</si>
  <si>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</si>
  <si>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</si>
  <si>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</si>
  <si>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</si>
  <si>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</si>
  <si>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</si>
  <si>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</si>
  <si>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</si>
  <si>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</si>
  <si>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</si>
  <si>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</si>
  <si>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</si>
  <si>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</si>
  <si>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</si>
  <si>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</si>
  <si>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</si>
  <si>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</si>
  <si>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</si>
  <si>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</si>
  <si>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</si>
  <si>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</si>
  <si>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</si>
  <si>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</si>
  <si>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</si>
  <si>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</si>
  <si>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</si>
  <si>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</si>
  <si>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</si>
  <si>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</si>
  <si>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</si>
  <si>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</si>
  <si>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</si>
  <si>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</si>
  <si>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</si>
  <si>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</si>
  <si>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</si>
  <si>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</si>
  <si>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</si>
  <si>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</si>
  <si>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</si>
  <si>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</si>
  <si>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</si>
  <si>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</si>
  <si>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</si>
  <si>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</si>
  <si>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</si>
  <si>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</si>
  <si>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</si>
  <si>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</si>
  <si>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</si>
  <si>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</si>
  <si>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</si>
  <si>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</si>
  <si>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</si>
  <si>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</si>
  <si>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</si>
  <si>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</si>
  <si>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</si>
  <si>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</si>
  <si>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</si>
  <si>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</si>
  <si>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</si>
  <si>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</si>
  <si>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</si>
  <si>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</si>
  <si>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</si>
  <si>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</si>
  <si>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</si>
  <si>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</si>
  <si>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</si>
  <si>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</si>
  <si>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</si>
  <si>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</si>
  <si>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</si>
  <si>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</si>
  <si>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</si>
  <si>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</si>
  <si>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</si>
  <si>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</si>
  <si>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</si>
  <si>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</si>
  <si>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</si>
  <si>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</si>
  <si>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</si>
  <si>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</si>
  <si>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</si>
  <si>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</si>
  <si>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</si>
  <si>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</si>
  <si>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</si>
  <si>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</si>
  <si>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</si>
  <si>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</si>
  <si>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</si>
  <si>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</si>
  <si>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</si>
  <si>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</si>
  <si>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</si>
  <si>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</si>
  <si>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</si>
  <si>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</si>
  <si>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</si>
  <si>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</si>
  <si>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</si>
  <si>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</si>
  <si>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</si>
  <si>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</si>
  <si>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</si>
  <si>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</si>
  <si>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</si>
  <si>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</si>
  <si>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</si>
  <si>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</si>
  <si>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</si>
  <si>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</si>
  <si>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</si>
  <si>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</si>
  <si>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</si>
  <si>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</si>
  <si>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</si>
  <si>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</si>
  <si>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</si>
  <si>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</si>
  <si>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</si>
  <si>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</si>
  <si>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</si>
  <si>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</si>
  <si>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</si>
  <si>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</si>
  <si>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</si>
  <si>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</si>
  <si>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</si>
  <si>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</si>
  <si>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</si>
  <si>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</si>
  <si>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</si>
  <si>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</si>
  <si>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</si>
  <si>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</si>
  <si>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</si>
  <si>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</si>
  <si>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</si>
  <si>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</si>
  <si>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</si>
  <si>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</si>
  <si>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</si>
  <si>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</si>
  <si>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</si>
  <si>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</si>
  <si>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</si>
  <si>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</si>
  <si>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</si>
  <si>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</si>
  <si>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</si>
  <si>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</si>
  <si>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</si>
  <si>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</si>
  <si>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</si>
  <si>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</si>
  <si>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</si>
  <si>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</si>
  <si>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</si>
  <si>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</si>
  <si>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</si>
  <si>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</si>
  <si>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</si>
  <si>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</si>
  <si>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</si>
  <si>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</si>
  <si>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</si>
  <si>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</si>
  <si>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</si>
  <si>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</si>
  <si>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</si>
  <si>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</si>
  <si>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</si>
  <si>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</si>
  <si>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</si>
  <si>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</si>
  <si>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</si>
  <si>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</si>
  <si>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</si>
  <si>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</si>
  <si>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</si>
  <si>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</si>
  <si>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</si>
  <si>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</si>
  <si>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</si>
  <si>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</si>
  <si>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</si>
  <si>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</si>
  <si>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</si>
  <si>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</si>
  <si>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</si>
  <si>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</si>
  <si>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</si>
  <si>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</si>
  <si>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</si>
  <si>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</si>
  <si>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</si>
  <si>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</si>
  <si>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</si>
  <si>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</si>
  <si>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</si>
  <si>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</si>
  <si>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</si>
  <si>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</si>
  <si>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</si>
  <si>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</si>
  <si>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</si>
  <si>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</si>
  <si>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</si>
  <si>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</si>
  <si>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</si>
  <si>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</si>
  <si>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</si>
  <si>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</si>
  <si>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</si>
  <si>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</si>
  <si>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</si>
  <si>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</si>
  <si>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</si>
  <si>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</si>
  <si>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</si>
  <si>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</si>
  <si>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</si>
  <si>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</si>
  <si>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</si>
  <si>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</si>
  <si>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</si>
  <si>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</si>
  <si>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</si>
  <si>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</si>
  <si>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</si>
  <si>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</si>
  <si>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</si>
  <si>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</si>
  <si>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</si>
  <si>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</si>
  <si>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</si>
  <si>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</si>
  <si>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</si>
  <si>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</si>
  <si>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</si>
  <si>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</si>
  <si>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</si>
  <si>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</si>
  <si>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</si>
  <si>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</si>
  <si>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</si>
  <si>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</si>
  <si>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</si>
  <si>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</si>
  <si>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</si>
  <si>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</si>
  <si>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</si>
  <si>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</si>
  <si>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</si>
  <si>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</si>
  <si>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</si>
  <si>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</si>
  <si>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</si>
  <si>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</si>
  <si>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</si>
  <si>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</si>
  <si>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</si>
  <si>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</si>
  <si>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</si>
  <si>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</si>
  <si>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</si>
  <si>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</si>
  <si>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</si>
  <si>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</si>
  <si>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</si>
  <si>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</si>
  <si>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</si>
  <si>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</si>
  <si>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</si>
  <si>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</si>
  <si>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</si>
  <si>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</si>
  <si>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</si>
  <si>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</si>
  <si>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</si>
  <si>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</si>
  <si>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</si>
  <si>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</si>
  <si>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</si>
  <si>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</si>
  <si>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</si>
  <si>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</si>
  <si>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</si>
  <si>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</si>
  <si>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</si>
  <si>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</si>
  <si>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</si>
  <si>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1.25-1.75</t>
  </si>
  <si>
    <t>3.25-3.50</t>
  </si>
  <si>
    <t>4.50-6.25</t>
  </si>
  <si>
    <t>0.50-3.25</t>
  </si>
  <si>
    <t>2.00-2.50</t>
  </si>
  <si>
    <t>1.50-3.00</t>
  </si>
  <si>
    <t>2.00-7.50</t>
  </si>
  <si>
    <t>2.50-3.25</t>
  </si>
  <si>
    <t>0.50-2.00</t>
  </si>
  <si>
    <t>7.25-9.00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</si>
  <si>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</si>
  <si>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</si>
  <si>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</si>
  <si>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</si>
  <si>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</si>
  <si>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</si>
  <si>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</si>
  <si>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</si>
  <si>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</si>
  <si>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</si>
  <si>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</si>
  <si>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</si>
  <si>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</si>
  <si>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</si>
  <si>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</si>
  <si>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</si>
  <si>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</si>
  <si>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</si>
  <si>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</si>
  <si>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</si>
  <si>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</si>
  <si>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</si>
  <si>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</si>
  <si>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</si>
  <si>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</si>
  <si>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</si>
  <si>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</si>
  <si>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</si>
  <si>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</si>
  <si>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</si>
  <si>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</si>
  <si>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</si>
  <si>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</si>
  <si>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</si>
  <si>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</si>
  <si>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</si>
  <si>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</si>
  <si>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</si>
  <si>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4.50-6.50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</si>
  <si>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</si>
  <si>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</si>
  <si>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</si>
  <si>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</si>
  <si>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</si>
  <si>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</si>
  <si>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</si>
  <si>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</si>
  <si>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</si>
  <si>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</si>
  <si>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6.50-7.00</t>
  </si>
  <si>
    <t>4.00-6.75</t>
  </si>
  <si>
    <t>0.50-3.50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</si>
  <si>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</si>
  <si>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</si>
  <si>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</si>
  <si>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</si>
  <si>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</si>
  <si>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</si>
  <si>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</si>
  <si>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</si>
  <si>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</si>
  <si>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</si>
  <si>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</si>
  <si>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</si>
  <si>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</si>
  <si>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</si>
  <si>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t>4.50-6.35</t>
  </si>
  <si>
    <t>6.75-7.00</t>
  </si>
  <si>
    <t>5.50-6.50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</si>
  <si>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</si>
  <si>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</si>
  <si>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</si>
  <si>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</si>
  <si>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</si>
  <si>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</si>
  <si>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4.25-6.35</t>
  </si>
  <si>
    <t>4.75-6.35</t>
  </si>
  <si>
    <t>4.50-7.00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</si>
  <si>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</si>
  <si>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</si>
  <si>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</si>
  <si>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</si>
  <si>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</si>
  <si>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</si>
  <si>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</si>
  <si>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</si>
  <si>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7.00-7.25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</si>
  <si>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</si>
  <si>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</si>
  <si>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</si>
  <si>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</si>
  <si>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</si>
  <si>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</si>
  <si>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</si>
  <si>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</si>
  <si>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</si>
  <si>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</si>
  <si>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</si>
  <si>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</si>
  <si>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>Email: fatema.fazrin@bb.org.bd</t>
  </si>
  <si>
    <t xml:space="preserve">Assistant Director            </t>
  </si>
  <si>
    <t>1.25-4.25</t>
  </si>
  <si>
    <t>7.00-7.50</t>
  </si>
  <si>
    <t>0.25-6.00</t>
  </si>
  <si>
    <t>Cash Reserve Require-ment</t>
  </si>
  <si>
    <t>02.02.23</t>
  </si>
  <si>
    <t>08.02.23</t>
  </si>
  <si>
    <t>15.02.23</t>
  </si>
  <si>
    <t>Cow Hides Raw                             (Tk per piece)</t>
  </si>
  <si>
    <t>5.50-6.00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</si>
  <si>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</si>
  <si>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</si>
  <si>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</si>
  <si>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</si>
  <si>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</si>
  <si>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</si>
  <si>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</si>
  <si>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</si>
  <si>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 xml:space="preserve">Fatema Fazrin                      </t>
  </si>
  <si>
    <t>Assistant Director</t>
  </si>
  <si>
    <t>4.25-6.75</t>
  </si>
  <si>
    <t>0.05-1.50</t>
  </si>
  <si>
    <t>1.03-2.00</t>
  </si>
  <si>
    <t>05.04.23</t>
  </si>
  <si>
    <t>BD0928381054</t>
  </si>
  <si>
    <t>12.04.23</t>
  </si>
  <si>
    <t>12.04.28</t>
  </si>
  <si>
    <t>24.04.23</t>
  </si>
  <si>
    <t>1.00-4.00</t>
  </si>
  <si>
    <t>3.50-6.25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</si>
  <si>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</si>
  <si>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</si>
  <si>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</si>
  <si>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</si>
  <si>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</si>
  <si>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</si>
  <si>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24.05.23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</si>
  <si>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</si>
  <si>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</si>
  <si>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</si>
  <si>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</si>
  <si>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</si>
  <si>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</si>
  <si>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</si>
  <si>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</si>
  <si>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</si>
  <si>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</si>
  <si>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</si>
  <si>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</si>
  <si>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</si>
  <si>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</si>
  <si>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</si>
  <si>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</si>
  <si>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</si>
  <si>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</si>
  <si>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</si>
  <si>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</si>
  <si>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</si>
  <si>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</si>
  <si>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</si>
  <si>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</si>
  <si>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</si>
  <si>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</si>
  <si>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</si>
  <si>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</si>
  <si>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</si>
  <si>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</si>
  <si>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6.75-7.25</t>
  </si>
  <si>
    <t>1.00-5.50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</si>
  <si>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</si>
  <si>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</si>
  <si>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</si>
  <si>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</si>
  <si>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</si>
  <si>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</si>
  <si>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</si>
  <si>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</si>
  <si>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</si>
  <si>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</si>
  <si>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</si>
  <si>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</si>
  <si>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PROFIT RATE STRUCTURE OF THE ISLAMIC BANKS, 2022</t>
  </si>
  <si>
    <t>Profit Rate Structure of  the Islamic Banks, 2022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</si>
  <si>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</si>
  <si>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</si>
  <si>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</si>
  <si>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</si>
  <si>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</si>
  <si>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3.00-4.00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</si>
  <si>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</si>
  <si>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</si>
  <si>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</si>
  <si>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</si>
  <si>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</si>
  <si>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</si>
  <si>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</si>
  <si>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</si>
  <si>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</si>
  <si>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</si>
  <si>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</si>
  <si>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</si>
  <si>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</si>
  <si>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</si>
  <si>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</si>
  <si>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</si>
  <si>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</si>
  <si>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</si>
  <si>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r>
      <t>2023-24</t>
    </r>
    <r>
      <rPr>
        <b/>
        <vertAlign val="superscript"/>
        <sz val="8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</si>
  <si>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</si>
  <si>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</si>
  <si>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</si>
  <si>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>Transport, Storage Information &amp; Comm.</t>
  </si>
  <si>
    <t>Accomodation &amp; Food Service Activities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</si>
  <si>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</si>
  <si>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</si>
  <si>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</si>
  <si>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</si>
  <si>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</si>
  <si>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</si>
  <si>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</si>
  <si>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14=(7+..+13)</t>
  </si>
  <si>
    <t>15=(1+6+14)</t>
  </si>
  <si>
    <t>17=(15+16)</t>
  </si>
  <si>
    <t>24=(20+..+23)</t>
  </si>
  <si>
    <t>32=(25+..+31)</t>
  </si>
  <si>
    <t>33=(19+24+32)</t>
  </si>
  <si>
    <t>35=(33+34)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</si>
  <si>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</si>
  <si>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</si>
  <si>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</si>
  <si>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</si>
  <si>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</si>
  <si>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</si>
  <si>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</si>
  <si>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</si>
  <si>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</si>
  <si>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</si>
  <si>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</si>
  <si>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OF BANGLADESH  (Base:2015-16)                                TABLE-IXC  (Contd.)</t>
  </si>
  <si>
    <t>OF BANGLADESH (Base:2015-16)                                            TABLE-IXC (Concld.)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</si>
  <si>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</si>
  <si>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</si>
  <si>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</si>
  <si>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</si>
  <si>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</si>
  <si>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</si>
  <si>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</si>
  <si>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</si>
  <si>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</si>
  <si>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</si>
  <si>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</si>
  <si>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</si>
  <si>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r>
      <t>2022-23</t>
    </r>
    <r>
      <rPr>
        <vertAlign val="superscript"/>
        <sz val="8"/>
        <color indexed="8"/>
        <rFont val="Times New Roman"/>
        <family val="1"/>
      </rPr>
      <t>P</t>
    </r>
  </si>
  <si>
    <t>Mobile Financial Services (MFS)</t>
  </si>
  <si>
    <t>No. of MFS Agents (as on)</t>
  </si>
  <si>
    <t>MFS Transactions</t>
  </si>
  <si>
    <t>No. of MFS Subscribers (as on)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</si>
  <si>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MFS data</t>
    </r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</si>
  <si>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</si>
  <si>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</si>
  <si>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</si>
  <si>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</si>
  <si>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</si>
  <si>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</si>
  <si>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</si>
  <si>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</si>
  <si>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2.50-3.50</t>
  </si>
  <si>
    <t>2.75-3.50</t>
  </si>
  <si>
    <t>1.50-1.75</t>
  </si>
  <si>
    <t>1.50-2.00</t>
  </si>
  <si>
    <t>1.50-2.25</t>
  </si>
  <si>
    <t>1.50-2.50</t>
  </si>
  <si>
    <t>1.50-2.75</t>
  </si>
  <si>
    <t>3.75-8.50</t>
  </si>
  <si>
    <t>3.75-8.75</t>
  </si>
  <si>
    <t>7.50-8.00</t>
  </si>
  <si>
    <t>7.75-8.25</t>
  </si>
  <si>
    <t>8.25-8.50</t>
  </si>
  <si>
    <t>3.25-4.00</t>
  </si>
  <si>
    <t>5.60-6.75</t>
  </si>
  <si>
    <t>2.25-8.25</t>
  </si>
  <si>
    <t>2.75-8.50</t>
  </si>
  <si>
    <t>2.75-8.75</t>
  </si>
  <si>
    <t>3.00-7.75</t>
  </si>
  <si>
    <t>6.50-8.00</t>
  </si>
  <si>
    <t>7.00-8.25</t>
  </si>
  <si>
    <t>7.00-8.50</t>
  </si>
  <si>
    <t>2.50-3.00</t>
  </si>
  <si>
    <t>2.50-3.15</t>
  </si>
  <si>
    <t>4.50-7.50</t>
  </si>
  <si>
    <t>4.50-8.00</t>
  </si>
  <si>
    <t>2.00-7.00</t>
  </si>
  <si>
    <t>2.50-7.10</t>
  </si>
  <si>
    <t>3.00-7.20</t>
  </si>
  <si>
    <t>4.75-9.00</t>
  </si>
  <si>
    <t>2.50-5.50</t>
  </si>
  <si>
    <t>4.25-8.00</t>
  </si>
  <si>
    <t>7.50-9.50</t>
  </si>
  <si>
    <t>6.00-8.25</t>
  </si>
  <si>
    <t>6.00-8.75</t>
  </si>
  <si>
    <t>5.00-7.00</t>
  </si>
  <si>
    <t>7.50-8.75</t>
  </si>
  <si>
    <t>3.00-6.75</t>
  </si>
  <si>
    <t>3.00-7.00</t>
  </si>
  <si>
    <t>8.00-9.50</t>
  </si>
  <si>
    <t>8.50-9.75</t>
  </si>
  <si>
    <t>8.75-9.75</t>
  </si>
  <si>
    <t>8.00-8.50</t>
  </si>
  <si>
    <t>2.50-3.90</t>
  </si>
  <si>
    <t>4.25-8.25</t>
  </si>
  <si>
    <t>4.00-8.50</t>
  </si>
  <si>
    <t>3.00-7.50</t>
  </si>
  <si>
    <t>5.25-8.25</t>
  </si>
  <si>
    <t>5.50-8.25</t>
  </si>
  <si>
    <t>8.00-8.75</t>
  </si>
  <si>
    <t>1.50-9.00</t>
  </si>
  <si>
    <t>3.25-9.25</t>
  </si>
  <si>
    <t>6.65-9.25</t>
  </si>
  <si>
    <t>0.05-3.00</t>
  </si>
  <si>
    <t>2.03-2.15</t>
  </si>
  <si>
    <t>1.00-1.50</t>
  </si>
  <si>
    <t>1.25-3.50</t>
  </si>
  <si>
    <t>1.50-4.00</t>
  </si>
  <si>
    <t>1.75-4.50</t>
  </si>
  <si>
    <t>3.00-5.00</t>
  </si>
  <si>
    <t>0.25-5.00</t>
  </si>
  <si>
    <t>0.30-6.50</t>
  </si>
  <si>
    <t>4.50-5.00</t>
  </si>
  <si>
    <t>4.88-5.00</t>
  </si>
  <si>
    <t>9.00-10.70</t>
  </si>
  <si>
    <t>9.00-9.50</t>
  </si>
  <si>
    <t>8.00-9.10</t>
  </si>
  <si>
    <t>9.10-10.10</t>
  </si>
  <si>
    <t>7.49-10.49</t>
  </si>
  <si>
    <t>5.50-8.50</t>
  </si>
  <si>
    <t>4.00-7.00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</si>
  <si>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</si>
  <si>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</si>
  <si>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</si>
  <si>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</si>
  <si>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27.12.23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</si>
  <si>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</si>
  <si>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</si>
  <si>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</si>
  <si>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</si>
  <si>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</si>
  <si>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 xml:space="preserve"> IN BANGLADESH (EXCEPT ISLAMIC BANKS), December 2023</t>
  </si>
  <si>
    <t>IN BANGLADESH (EXCEPT ISLAMIC BANKS),  December 2023</t>
  </si>
  <si>
    <t>IN BANGLADESH(EXCEPT ISLAMIC BANKS), December 2023</t>
  </si>
  <si>
    <t>Bank-wise Announced Interest Rate Structure in Bangladesh (Except Islamic Banks), December 2023</t>
  </si>
  <si>
    <t>5.53-5.97</t>
  </si>
  <si>
    <t>0.23-2.17</t>
  </si>
  <si>
    <t>0.54-2.57</t>
  </si>
  <si>
    <t>2.59-8.22</t>
  </si>
  <si>
    <t>3.11-8.35</t>
  </si>
  <si>
    <t>3.63-8.52</t>
  </si>
  <si>
    <t>4.23-7.37</t>
  </si>
  <si>
    <t>4.23-6.79</t>
  </si>
  <si>
    <t>2.66-4.03</t>
  </si>
  <si>
    <t>3.53-4.53</t>
  </si>
  <si>
    <t>4.25-4.75</t>
  </si>
  <si>
    <t>4.64-4.89</t>
  </si>
  <si>
    <t>6.41-8.41</t>
  </si>
  <si>
    <t>8.50-8.75</t>
  </si>
  <si>
    <t>4.50-8.75</t>
  </si>
  <si>
    <t>7.90-8.75</t>
  </si>
  <si>
    <t>2.25-5.00</t>
  </si>
  <si>
    <t>6.13-8.63</t>
  </si>
  <si>
    <t>6.63-8.88</t>
  </si>
  <si>
    <t>7.13-9.15</t>
  </si>
  <si>
    <t>7.13-7.38</t>
  </si>
  <si>
    <t>5.25-7.50</t>
  </si>
  <si>
    <t>5.50-7.63</t>
  </si>
  <si>
    <t>5.63-7.75</t>
  </si>
  <si>
    <t>8.25-9.00</t>
  </si>
  <si>
    <t>8.50-9.00</t>
  </si>
  <si>
    <t>4.25-8.50</t>
  </si>
  <si>
    <t>7.75-8.75</t>
  </si>
  <si>
    <t>8.00-9.25</t>
  </si>
  <si>
    <t>5.00-8.00</t>
  </si>
  <si>
    <t>1.76-3.76</t>
  </si>
  <si>
    <t>3.46-8.03</t>
  </si>
  <si>
    <t>7.00-8.14</t>
  </si>
  <si>
    <t>7.53-8.28</t>
  </si>
  <si>
    <t>5.25-9.00</t>
  </si>
  <si>
    <t>2.00-8.00</t>
  </si>
  <si>
    <t>6.00-8.50</t>
  </si>
  <si>
    <t>5.00-8.50</t>
  </si>
  <si>
    <t>7.25-7.50</t>
  </si>
  <si>
    <t>7.25-8.00</t>
  </si>
  <si>
    <t>2.50-9.50</t>
  </si>
  <si>
    <t>6.75-12.00</t>
  </si>
  <si>
    <t>1.03-3.00</t>
  </si>
  <si>
    <t>0.20-4.75</t>
  </si>
  <si>
    <t>1.88-9.13</t>
  </si>
  <si>
    <t>1.63-9.13</t>
  </si>
  <si>
    <t>1.63-9.38</t>
  </si>
  <si>
    <t>4.00-10.22</t>
  </si>
  <si>
    <t>3.00-10.22</t>
  </si>
  <si>
    <t>4.50-10.22</t>
  </si>
  <si>
    <t>9.00-11.22</t>
  </si>
  <si>
    <t>4.00-11.22</t>
  </si>
  <si>
    <t>6.00-11.47</t>
  </si>
  <si>
    <t>10.47-11.47</t>
  </si>
  <si>
    <t>6.00-10.47</t>
  </si>
  <si>
    <t>7.43-10.18</t>
  </si>
  <si>
    <t>7.43-11.18</t>
  </si>
  <si>
    <t>8.50-11.47</t>
  </si>
  <si>
    <t>4.00-10.47</t>
  </si>
  <si>
    <t>4.00-10.40</t>
  </si>
  <si>
    <t>10.75-11.08</t>
  </si>
  <si>
    <t>9.00-11.40</t>
  </si>
  <si>
    <t>9.50-10.50</t>
  </si>
  <si>
    <t>7.00-11.45</t>
  </si>
  <si>
    <t>8.49-11.00</t>
  </si>
  <si>
    <t>7.27-9.85</t>
  </si>
  <si>
    <t>9.02-11.18</t>
  </si>
  <si>
    <t>7.85-10.18</t>
  </si>
  <si>
    <t>7.72-11.47</t>
  </si>
  <si>
    <t>7.72-10.47</t>
  </si>
  <si>
    <t>8.22-10.22</t>
  </si>
  <si>
    <t>8.22-11.22</t>
  </si>
  <si>
    <t>10.93-11.47</t>
  </si>
  <si>
    <t>9.00-10.47</t>
  </si>
  <si>
    <t>9.00-11.47</t>
  </si>
  <si>
    <t>7.00-10.47</t>
  </si>
  <si>
    <t>9.50-10.74</t>
  </si>
  <si>
    <t>10.00-11.47</t>
  </si>
  <si>
    <t>9.93-10.47</t>
  </si>
  <si>
    <t>9.13-11.18</t>
  </si>
  <si>
    <t>10.10-11.18</t>
  </si>
  <si>
    <t>9.10-10.18</t>
  </si>
  <si>
    <t>10.00-11.18</t>
  </si>
  <si>
    <t>9.50-11.18</t>
  </si>
  <si>
    <t>9.50-10.93</t>
  </si>
  <si>
    <t>4.00-11.30</t>
  </si>
  <si>
    <t>9.50-11.00</t>
  </si>
  <si>
    <t>9.50-11.45</t>
  </si>
  <si>
    <t>8.00-10.47</t>
  </si>
  <si>
    <t>7.40-10.40</t>
  </si>
  <si>
    <t>8.00-11.00</t>
  </si>
  <si>
    <t>8.23-10.24</t>
  </si>
  <si>
    <t>4.24-5.74</t>
  </si>
  <si>
    <t>8.74-11.47</t>
  </si>
  <si>
    <t>8.40-11.40</t>
  </si>
  <si>
    <t>8.75-11.47</t>
  </si>
  <si>
    <t>8.00-11.47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</si>
  <si>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</si>
  <si>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</si>
  <si>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</si>
  <si>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</si>
  <si>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</si>
  <si>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</si>
  <si>
    <t>February 2024</t>
  </si>
  <si>
    <t>BD0926251028</t>
  </si>
  <si>
    <t>03.01.24</t>
  </si>
  <si>
    <t>03.01.26</t>
  </si>
  <si>
    <t>10.01.24</t>
  </si>
  <si>
    <t>17.01.24</t>
  </si>
  <si>
    <t>24.01.24</t>
  </si>
  <si>
    <t xml:space="preserve"> Data of Bangladesh Govt. Investment Sukuk updated  as on 31 December, 2023</t>
  </si>
  <si>
    <t>Note: Data of Other Treasury Bond updated  as on 31 December, 2023</t>
  </si>
  <si>
    <t>Data Of BD(Govt) Treasury Bond updated  as on 31 January, 2024</t>
  </si>
  <si>
    <r>
      <t>December</t>
    </r>
    <r>
      <rPr>
        <vertAlign val="superscript"/>
        <sz val="7.5"/>
        <color indexed="8"/>
        <rFont val="Times New Roman"/>
        <family val="1"/>
      </rPr>
      <t>R</t>
    </r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</si>
  <si>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</si>
  <si>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</si>
  <si>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</si>
  <si>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</si>
  <si>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</si>
  <si>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</si>
  <si>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</si>
  <si>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</si>
  <si>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</si>
  <si>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</si>
  <si>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</si>
  <si>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2) P= Provisional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</si>
  <si>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</si>
  <si>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</si>
  <si>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</si>
  <si>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Kazi Sayedur Rahman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</si>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</sst>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7.5"/>
      <color indexed="8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3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5" fillId="0" borderId="0"/>
    <xf numFmtId="0" fontId="1" fillId="0" borderId="0"/>
    <xf numFmtId="0" fontId="1" fillId="0" borderId="0"/>
    <xf numFmtId="0" fontId="7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6" fillId="0" borderId="0"/>
    <xf numFmtId="0" fontId="196" fillId="0" borderId="0"/>
    <xf numFmtId="0" fontId="196" fillId="0" borderId="0"/>
  </cellStyleXfs>
  <cellXfs count="2552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6" xfId="0" applyFont="1" applyBorder="1" applyAlignment="1">
      <alignment vertical="top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7" fillId="34" borderId="0" xfId="0" applyNumberFormat="1" applyFont="1" applyFill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2" fontId="177" fillId="0" borderId="0" xfId="0" applyNumberFormat="1" applyFont="1" applyFill="1" applyBorder="1" applyAlignment="1">
      <alignment horizontal="center" vertical="center"/>
    </xf>
    <xf numFmtId="0" fontId="177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7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7" fillId="0" borderId="0" xfId="0" applyFont="1" applyFill="1" applyBorder="1" applyAlignment="1">
      <alignment horizontal="left" vertical="center" wrapText="1"/>
    </xf>
    <xf numFmtId="0" fontId="177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80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0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79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2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3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4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5" fillId="0" borderId="0" xfId="0" applyNumberFormat="1" applyFont="1"/>
    <xf numFmtId="0" fontId="185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6" fillId="2" borderId="0" xfId="0" applyFont="1" applyFill="1" applyBorder="1"/>
    <xf numFmtId="0" fontId="188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5" fillId="0" borderId="0" xfId="0" applyFont="1" applyFill="1"/>
    <xf numFmtId="164" fontId="185" fillId="0" borderId="0" xfId="0" applyNumberFormat="1" applyFont="1" applyFill="1"/>
    <xf numFmtId="0" fontId="190" fillId="0" borderId="0" xfId="0" applyFont="1" applyFill="1"/>
    <xf numFmtId="0" fontId="190" fillId="34" borderId="0" xfId="0" applyFont="1" applyFill="1"/>
    <xf numFmtId="164" fontId="190" fillId="34" borderId="0" xfId="0" applyNumberFormat="1" applyFont="1" applyFill="1"/>
    <xf numFmtId="0" fontId="191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7" borderId="0" xfId="196" applyNumberFormat="1" applyFont="1" applyFill="1" applyBorder="1" applyAlignment="1">
      <alignment horizontal="center" vertical="center"/>
    </xf>
    <xf numFmtId="164" fontId="193" fillId="0" borderId="0" xfId="196" applyNumberFormat="1" applyFont="1" applyFill="1" applyBorder="1" applyAlignment="1">
      <alignment horizontal="center" vertic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0" fillId="37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5" fillId="0" borderId="0" xfId="0" applyFont="1"/>
    <xf numFmtId="0" fontId="193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5" fillId="0" borderId="0" xfId="0" applyNumberFormat="1" applyFont="1"/>
    <xf numFmtId="1" fontId="0" fillId="0" borderId="0" xfId="0" applyNumberFormat="1"/>
    <xf numFmtId="164" fontId="197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7" fillId="0" borderId="0" xfId="0" applyFont="1"/>
    <xf numFmtId="164" fontId="195" fillId="0" borderId="0" xfId="0" applyNumberFormat="1" applyFont="1"/>
    <xf numFmtId="1" fontId="195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5" fillId="0" borderId="0" xfId="0" applyNumberFormat="1" applyFont="1" applyFill="1"/>
    <xf numFmtId="1" fontId="189" fillId="0" borderId="0" xfId="0" applyNumberFormat="1" applyFont="1" applyFill="1"/>
    <xf numFmtId="0" fontId="197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23" fillId="34" borderId="0" xfId="0" applyFont="1" applyFill="1" applyBorder="1" applyAlignment="1">
      <alignment horizontal="left" vertical="center"/>
    </xf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7" borderId="0" xfId="0" applyFont="1" applyFill="1" applyBorder="1" applyAlignment="1">
      <alignment horizontal="left"/>
    </xf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200" fillId="0" borderId="0" xfId="196" applyNumberFormat="1" applyFont="1"/>
    <xf numFmtId="0" fontId="200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25" fillId="0" borderId="8" xfId="0" applyFont="1" applyBorder="1" applyAlignment="1">
      <alignment vertical="center" wrapText="1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46" fontId="15" fillId="34" borderId="6" xfId="0" applyNumberFormat="1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196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93" fillId="34" borderId="0" xfId="0" applyFont="1" applyFill="1"/>
    <xf numFmtId="164" fontId="185" fillId="0" borderId="0" xfId="0" applyNumberFormat="1" applyFont="1" applyFill="1" applyBorder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0" fontId="48" fillId="0" borderId="2" xfId="0" applyFont="1" applyBorder="1" applyAlignment="1">
      <alignment horizontal="center" vertical="top"/>
    </xf>
    <xf numFmtId="2" fontId="23" fillId="0" borderId="0" xfId="0" applyNumberFormat="1" applyFont="1" applyFill="1" applyBorder="1" applyAlignment="1">
      <alignment horizontal="center" vertical="top"/>
    </xf>
    <xf numFmtId="1" fontId="48" fillId="0" borderId="2" xfId="0" applyNumberFormat="1" applyFont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top" wrapText="1"/>
    </xf>
    <xf numFmtId="2" fontId="124" fillId="0" borderId="6" xfId="0" applyNumberFormat="1" applyFont="1" applyFill="1" applyBorder="1" applyAlignment="1">
      <alignment horizontal="center"/>
    </xf>
    <xf numFmtId="2" fontId="124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4" fillId="0" borderId="2" xfId="0" applyFont="1" applyBorder="1" applyAlignment="1">
      <alignment horizontal="center" vertical="top"/>
    </xf>
    <xf numFmtId="0" fontId="23" fillId="0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Alignment="1"/>
    <xf numFmtId="0" fontId="40" fillId="34" borderId="6" xfId="0" applyFont="1" applyFill="1" applyBorder="1" applyAlignment="1">
      <alignment horizontal="left" vertical="center"/>
    </xf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7" fillId="0" borderId="0" xfId="0" applyNumberFormat="1" applyFont="1"/>
    <xf numFmtId="2" fontId="195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right" vertical="top" wrapText="1"/>
    </xf>
    <xf numFmtId="2" fontId="7" fillId="0" borderId="0" xfId="0" applyNumberFormat="1" applyFont="1" applyFill="1"/>
    <xf numFmtId="0" fontId="13" fillId="34" borderId="6" xfId="0" applyFont="1" applyFill="1" applyBorder="1" applyAlignment="1">
      <alignment horizontal="right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/>
    </xf>
    <xf numFmtId="2" fontId="60" fillId="0" borderId="0" xfId="0" applyNumberFormat="1" applyFont="1" applyFill="1"/>
    <xf numFmtId="0" fontId="15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164" fontId="15" fillId="34" borderId="0" xfId="0" applyNumberFormat="1" applyFont="1" applyFill="1" applyBorder="1" applyAlignment="1">
      <alignment horizontal="left" vertical="top" wrapText="1"/>
    </xf>
    <xf numFmtId="0" fontId="15" fillId="34" borderId="6" xfId="0" applyFont="1" applyFill="1" applyBorder="1" applyAlignment="1">
      <alignment horizontal="right"/>
    </xf>
    <xf numFmtId="2" fontId="14" fillId="0" borderId="0" xfId="0" applyNumberFormat="1" applyFont="1" applyFill="1" applyBorder="1"/>
    <xf numFmtId="0" fontId="23" fillId="34" borderId="0" xfId="0" applyFont="1" applyFill="1" applyBorder="1" applyAlignment="1">
      <alignment horizontal="left" vertic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wrapText="1"/>
    </xf>
    <xf numFmtId="2" fontId="118" fillId="0" borderId="6" xfId="0" applyNumberFormat="1" applyFont="1" applyFill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164" fontId="15" fillId="0" borderId="0" xfId="0" applyNumberFormat="1" applyFont="1" applyFill="1" applyBorder="1" applyAlignment="1">
      <alignment horizontal="left" vertical="top" wrapText="1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34" fillId="0" borderId="0" xfId="0" applyFont="1" applyFill="1" applyBorder="1" applyAlignment="1">
      <alignment horizontal="center"/>
    </xf>
    <xf numFmtId="0" fontId="155" fillId="0" borderId="0" xfId="0" applyFont="1" applyBorder="1" applyAlignment="1">
      <alignment horizontal="left" vertical="center" wrapText="1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13" fillId="34" borderId="6" xfId="0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center" vertical="center"/>
    </xf>
    <xf numFmtId="2" fontId="110" fillId="34" borderId="6" xfId="0" applyNumberFormat="1" applyFont="1" applyFill="1" applyBorder="1" applyAlignment="1">
      <alignment horizontal="center" vertical="center" wrapText="1"/>
    </xf>
    <xf numFmtId="164" fontId="110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/>
    <xf numFmtId="0" fontId="13" fillId="0" borderId="6" xfId="0" applyFont="1" applyFill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0" fillId="0" borderId="0" xfId="0"/>
    <xf numFmtId="2" fontId="118" fillId="34" borderId="6" xfId="0" applyNumberFormat="1" applyFont="1" applyFill="1" applyBorder="1" applyAlignment="1">
      <alignment horizontal="center" vertical="center" wrapText="1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110" fillId="0" borderId="6" xfId="0" applyFont="1" applyFill="1" applyBorder="1" applyAlignment="1">
      <alignment horizontal="left" vertical="center" wrapText="1"/>
    </xf>
    <xf numFmtId="164" fontId="110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0" fontId="15" fillId="0" borderId="6" xfId="196" applyFont="1" applyFill="1" applyBorder="1" applyAlignment="1">
      <alignment vertical="center"/>
    </xf>
    <xf numFmtId="2" fontId="15" fillId="0" borderId="6" xfId="196" applyNumberFormat="1" applyFont="1" applyFill="1" applyBorder="1" applyAlignment="1">
      <alignment horizontal="center" vertical="center"/>
    </xf>
    <xf numFmtId="164" fontId="15" fillId="0" borderId="6" xfId="196" applyNumberFormat="1" applyFont="1" applyFill="1" applyBorder="1" applyAlignment="1">
      <alignment horizontal="center" vertical="center"/>
    </xf>
    <xf numFmtId="166" fontId="15" fillId="0" borderId="6" xfId="196" applyNumberFormat="1" applyFont="1" applyFill="1" applyBorder="1" applyAlignment="1">
      <alignment horizontal="center" vertical="center"/>
    </xf>
    <xf numFmtId="0" fontId="15" fillId="0" borderId="6" xfId="196" applyFont="1" applyFill="1" applyBorder="1" applyAlignment="1">
      <alignment horizontal="right" vertical="center"/>
    </xf>
    <xf numFmtId="0" fontId="38" fillId="0" borderId="6" xfId="0" applyFont="1" applyFill="1" applyBorder="1" applyAlignment="1">
      <alignment horizontal="left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/>
    </xf>
    <xf numFmtId="0" fontId="23" fillId="0" borderId="0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2" fontId="38" fillId="0" borderId="6" xfId="0" applyNumberFormat="1" applyFont="1" applyFill="1" applyBorder="1" applyAlignment="1">
      <alignment horizontal="center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14" fillId="0" borderId="0" xfId="0" applyFont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0" fillId="0" borderId="0" xfId="0"/>
    <xf numFmtId="0" fontId="17" fillId="0" borderId="4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33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5" fillId="34" borderId="6" xfId="0" applyNumberFormat="1" applyFont="1" applyFill="1" applyBorder="1" applyAlignment="1">
      <alignment horizontal="right" vertical="center"/>
    </xf>
    <xf numFmtId="164" fontId="118" fillId="40" borderId="0" xfId="0" applyNumberFormat="1" applyFont="1" applyFill="1" applyBorder="1" applyAlignment="1">
      <alignment horizontal="center" vertical="center"/>
    </xf>
    <xf numFmtId="164" fontId="118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0" fontId="110" fillId="34" borderId="6" xfId="0" applyFont="1" applyFill="1" applyBorder="1" applyAlignment="1">
      <alignment vertical="center"/>
    </xf>
    <xf numFmtId="0" fontId="110" fillId="34" borderId="6" xfId="0" applyFont="1" applyFill="1" applyBorder="1" applyAlignment="1">
      <alignment horizontal="center" vertical="center"/>
    </xf>
    <xf numFmtId="1" fontId="110" fillId="34" borderId="6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/>
    </xf>
    <xf numFmtId="2" fontId="15" fillId="0" borderId="6" xfId="0" applyNumberFormat="1" applyFont="1" applyFill="1" applyBorder="1" applyAlignment="1">
      <alignment horizontal="center"/>
    </xf>
    <xf numFmtId="0" fontId="16" fillId="0" borderId="68" xfId="0" applyFont="1" applyBorder="1" applyAlignment="1">
      <alignment vertical="top" wrapText="1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4" fontId="110" fillId="34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left" vertical="top" wrapText="1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155" fillId="0" borderId="0" xfId="0" applyFont="1" applyBorder="1" applyAlignment="1">
      <alignment horizontal="left" wrapText="1"/>
    </xf>
    <xf numFmtId="0" fontId="187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172" fontId="157" fillId="0" borderId="10" xfId="0" applyNumberFormat="1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02" fillId="0" borderId="43" xfId="196" applyFont="1" applyFill="1" applyBorder="1" applyAlignment="1">
      <alignment horizontal="center" vertical="center" wrapText="1"/>
    </xf>
    <xf numFmtId="0" fontId="203" fillId="0" borderId="65" xfId="196" applyFont="1" applyBorder="1"/>
    <xf numFmtId="0" fontId="203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70" fillId="0" borderId="4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8" fillId="0" borderId="8" xfId="0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198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26" fillId="0" borderId="8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2" fontId="13" fillId="0" borderId="47" xfId="0" applyNumberFormat="1" applyFont="1" applyBorder="1" applyAlignment="1">
      <alignment horizontal="center" vertical="center" wrapText="1"/>
    </xf>
    <xf numFmtId="2" fontId="13" fillId="0" borderId="69" xfId="0" applyNumberFormat="1" applyFont="1" applyBorder="1" applyAlignment="1">
      <alignment horizontal="center" vertical="center" wrapText="1"/>
    </xf>
    <xf numFmtId="0" fontId="29" fillId="0" borderId="43" xfId="0" applyFont="1" applyBorder="1" applyAlignment="1">
      <alignment horizontal="center"/>
    </xf>
    <xf numFmtId="0" fontId="29" fillId="0" borderId="65" xfId="0" applyFont="1" applyBorder="1" applyAlignment="1">
      <alignment horizontal="center"/>
    </xf>
    <xf numFmtId="0" fontId="29" fillId="0" borderId="66" xfId="0" applyFont="1" applyBorder="1" applyAlignment="1">
      <alignment horizontal="center"/>
    </xf>
    <xf numFmtId="0" fontId="13" fillId="0" borderId="71" xfId="0" applyFont="1" applyBorder="1" applyAlignment="1">
      <alignment horizontal="center" vertical="center" wrapText="1"/>
    </xf>
    <xf numFmtId="0" fontId="13" fillId="0" borderId="72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Fill="1" applyBorder="1" applyAlignment="1">
      <alignment horizontal="center" vertical="center" wrapText="1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79" fillId="0" borderId="44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94" fillId="0" borderId="0" xfId="196" applyFont="1" applyAlignment="1">
      <alignment horizontal="right" vertical="top"/>
    </xf>
    <xf numFmtId="0" fontId="194" fillId="0" borderId="0" xfId="196" applyFont="1" applyAlignment="1">
      <alignment horizontal="center" vertical="top"/>
    </xf>
    <xf numFmtId="0" fontId="194" fillId="0" borderId="0" xfId="196" applyFont="1" applyAlignment="1">
      <alignment vertical="top"/>
    </xf>
    <xf numFmtId="0" fontId="120" fillId="0" borderId="64" xfId="232" applyFont="1" applyBorder="1" applyAlignment="1">
      <alignment horizontal="center" vertical="center" wrapText="1"/>
    </xf>
    <xf numFmtId="0" fontId="123" fillId="0" borderId="64" xfId="232" applyFont="1" applyBorder="1" applyAlignment="1">
      <alignment horizontal="center" vertical="center" wrapText="1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15" fillId="34" borderId="6" xfId="0" applyFont="1" applyFill="1" applyBorder="1" applyAlignment="1"/>
    <xf numFmtId="1" fontId="38" fillId="0" borderId="6" xfId="0" applyNumberFormat="1" applyFont="1" applyFill="1" applyBorder="1" applyAlignment="1">
      <alignment horizontal="center" vertical="center"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281939</xdr:colOff>
      <xdr:row>45</xdr:row>
      <xdr:rowOff>107158</xdr:rowOff>
    </xdr:from>
    <xdr:to>
      <xdr:col>7</xdr:col>
      <xdr:colOff>142874</xdr:colOff>
      <xdr:row>49</xdr:row>
      <xdr:rowOff>109472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89" y="1059656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226218</xdr:colOff>
      <xdr:row>5</xdr:row>
      <xdr:rowOff>2</xdr:rowOff>
    </xdr:from>
    <xdr:to>
      <xdr:col>9</xdr:col>
      <xdr:colOff>154780</xdr:colOff>
      <xdr:row>25</xdr:row>
      <xdr:rowOff>190501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6218" y="881065"/>
          <a:ext cx="4917281" cy="589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11"/>
  <sheetViews>
    <sheetView showGridLines="0" zoomScale="80" zoomScaleNormal="80" workbookViewId="0"/>
  </sheetViews>
  <sheetFormatPr defaultRowHeight="12.75"/>
  <cols>
    <col min="1" max="1" width="4.28515625" style="190" customWidth="1"/>
    <col min="2" max="2" width="3.28515625" style="817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9" customWidth="1"/>
    <col min="13" max="13" width="3.140625" style="199" customWidth="1"/>
    <col min="14" max="14" width="7.42578125" style="199" customWidth="1"/>
    <col min="15" max="15" width="8.5703125" style="199" customWidth="1"/>
    <col min="16" max="18" width="9.140625" style="199" customWidth="1"/>
    <col min="19" max="19" width="11" style="199" customWidth="1"/>
    <col min="20" max="20" width="12.5703125" style="199" customWidth="1"/>
    <col min="21" max="96" width="9.140625" style="199" customWidth="1"/>
  </cols>
  <sheetData>
    <row r="1" spans="1:96">
      <c r="B1" s="411"/>
      <c r="C1" s="202"/>
      <c r="D1" s="202"/>
      <c r="E1" s="202"/>
      <c r="F1" s="202"/>
      <c r="G1" s="202"/>
      <c r="H1" s="202"/>
      <c r="I1" s="202"/>
      <c r="J1" s="190"/>
      <c r="K1" s="190"/>
      <c r="L1" s="411"/>
    </row>
    <row r="2" spans="1:96">
      <c r="B2" s="412"/>
      <c r="C2" s="202"/>
      <c r="D2" s="202"/>
      <c r="E2" s="202"/>
      <c r="F2" s="202"/>
      <c r="G2" s="202"/>
      <c r="H2" s="202"/>
      <c r="I2" s="202"/>
      <c r="J2" s="190"/>
      <c r="K2" s="202"/>
    </row>
    <row r="3" spans="1:96">
      <c r="B3" s="412"/>
      <c r="C3" s="202"/>
      <c r="D3" s="202"/>
      <c r="E3" s="202"/>
      <c r="F3" s="202"/>
      <c r="G3" s="202"/>
      <c r="H3" s="202"/>
      <c r="I3" s="202"/>
      <c r="J3" s="190"/>
      <c r="K3" s="202"/>
    </row>
    <row r="4" spans="1:96">
      <c r="B4" s="412"/>
      <c r="C4" s="202"/>
      <c r="D4" s="202"/>
      <c r="E4" s="202"/>
      <c r="F4" s="202"/>
      <c r="G4" s="202"/>
      <c r="H4" s="202"/>
      <c r="I4" s="202"/>
      <c r="J4" s="190"/>
      <c r="K4" s="202"/>
      <c r="M4" s="200"/>
    </row>
    <row r="5" spans="1:96" ht="16.5" customHeight="1" thickBot="1">
      <c r="B5" s="412"/>
      <c r="C5" s="202"/>
      <c r="D5" s="202"/>
      <c r="E5" s="202"/>
      <c r="F5" s="202"/>
      <c r="G5" s="202"/>
      <c r="H5" s="202"/>
      <c r="I5" s="202"/>
      <c r="J5" s="202"/>
      <c r="K5" s="202"/>
    </row>
    <row r="6" spans="1:96" ht="11.25" customHeight="1">
      <c r="B6" s="412"/>
      <c r="C6" s="202"/>
      <c r="D6" s="202"/>
      <c r="F6" s="202"/>
      <c r="G6" s="202"/>
      <c r="H6" s="202"/>
      <c r="I6" s="202"/>
      <c r="J6" s="202"/>
      <c r="K6" s="202"/>
      <c r="M6" s="380"/>
      <c r="N6" s="381"/>
      <c r="O6" s="381"/>
      <c r="P6" s="381"/>
      <c r="Q6" s="381"/>
      <c r="R6" s="381"/>
      <c r="S6" s="381"/>
      <c r="T6" s="382"/>
    </row>
    <row r="7" spans="1:96" s="1257" customFormat="1" ht="31.5" customHeight="1">
      <c r="A7" s="190"/>
      <c r="B7" s="412"/>
      <c r="C7" s="202"/>
      <c r="D7" s="202"/>
      <c r="F7" s="202"/>
      <c r="G7" s="202"/>
      <c r="H7" s="202"/>
      <c r="I7" s="202"/>
      <c r="J7" s="202"/>
      <c r="K7" s="202"/>
      <c r="L7" s="199"/>
      <c r="M7" s="383"/>
      <c r="N7" s="200"/>
      <c r="O7" s="200"/>
      <c r="P7" s="200"/>
      <c r="Q7" s="1302" t="s">
        <v>2281</v>
      </c>
      <c r="R7" s="200"/>
      <c r="S7" s="200"/>
      <c r="T7" s="384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</row>
    <row r="8" spans="1:96" s="1257" customFormat="1" ht="18" customHeight="1">
      <c r="A8" s="190"/>
      <c r="B8" s="412"/>
      <c r="C8" s="202"/>
      <c r="D8" s="202"/>
      <c r="F8" s="202"/>
      <c r="G8" s="202"/>
      <c r="H8" s="202"/>
      <c r="I8" s="202"/>
      <c r="J8" s="202"/>
      <c r="K8" s="202"/>
      <c r="L8" s="199"/>
      <c r="M8" s="383"/>
      <c r="N8" s="200"/>
      <c r="O8" s="1843" t="s">
        <v>2798</v>
      </c>
      <c r="P8" s="1843"/>
      <c r="Q8" s="1843"/>
      <c r="R8" s="1843"/>
      <c r="S8" s="1843"/>
      <c r="T8" s="384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</row>
    <row r="9" spans="1:96" s="1257" customFormat="1" ht="15" customHeight="1">
      <c r="A9" s="190"/>
      <c r="B9" s="412"/>
      <c r="C9" s="202"/>
      <c r="D9" s="202"/>
      <c r="F9" s="202"/>
      <c r="G9" s="202"/>
      <c r="H9" s="202"/>
      <c r="I9" s="202"/>
      <c r="J9" s="202"/>
      <c r="K9" s="202"/>
      <c r="L9" s="199"/>
      <c r="M9" s="383"/>
      <c r="N9" s="200"/>
      <c r="O9" s="1303"/>
      <c r="P9" s="1304" t="s">
        <v>2282</v>
      </c>
      <c r="Q9" s="1305"/>
      <c r="R9" s="1305"/>
      <c r="S9" s="1305"/>
      <c r="T9" s="384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</row>
    <row r="10" spans="1:96" ht="15.75">
      <c r="A10" s="191"/>
      <c r="B10" s="412"/>
      <c r="C10" s="191"/>
      <c r="D10" s="372"/>
      <c r="E10" s="191"/>
      <c r="F10" s="191"/>
      <c r="G10" s="191"/>
      <c r="H10" s="202"/>
      <c r="I10" s="191"/>
      <c r="J10" s="191"/>
      <c r="K10" s="191"/>
      <c r="M10" s="383"/>
      <c r="N10" s="691"/>
      <c r="O10" s="691"/>
      <c r="P10" s="691"/>
      <c r="Q10" s="691"/>
      <c r="R10" s="691"/>
      <c r="S10" s="691"/>
      <c r="T10" s="384"/>
    </row>
    <row r="11" spans="1:96" ht="21">
      <c r="A11" s="191"/>
      <c r="B11" s="412"/>
      <c r="C11" s="191"/>
      <c r="D11" s="372"/>
      <c r="E11" s="191"/>
      <c r="F11" s="191"/>
      <c r="G11" s="191"/>
      <c r="H11" s="191"/>
      <c r="I11" s="191"/>
      <c r="J11" s="191"/>
      <c r="K11" s="191"/>
      <c r="M11" s="383"/>
      <c r="N11" s="691"/>
      <c r="O11" s="691"/>
      <c r="P11" s="707"/>
      <c r="Q11" s="708" t="s">
        <v>824</v>
      </c>
      <c r="R11" s="707"/>
      <c r="S11" s="691"/>
      <c r="T11" s="384"/>
    </row>
    <row r="12" spans="1:96" ht="14.25" customHeight="1">
      <c r="A12" s="191"/>
      <c r="B12" s="412"/>
      <c r="C12" s="191"/>
      <c r="D12" s="372"/>
      <c r="E12" s="191"/>
      <c r="F12" s="191"/>
      <c r="G12" s="191"/>
      <c r="H12" s="191"/>
      <c r="I12" s="191"/>
      <c r="J12" s="191"/>
      <c r="K12" s="191"/>
      <c r="M12" s="383"/>
      <c r="N12" s="691"/>
      <c r="O12" s="691"/>
      <c r="P12" s="697"/>
      <c r="Q12" s="697"/>
      <c r="R12" s="697"/>
      <c r="S12" s="691"/>
      <c r="T12" s="384"/>
    </row>
    <row r="13" spans="1:96" ht="18.75" customHeight="1">
      <c r="A13" s="191"/>
      <c r="B13" s="412"/>
      <c r="C13" s="191"/>
      <c r="D13" s="372"/>
      <c r="E13" s="191"/>
      <c r="F13" s="191"/>
      <c r="G13" s="191"/>
      <c r="H13" s="191"/>
      <c r="I13" s="191"/>
      <c r="J13" s="191"/>
      <c r="K13" s="191"/>
      <c r="M13" s="383"/>
      <c r="N13" s="691"/>
      <c r="O13" s="691"/>
      <c r="P13" s="697"/>
      <c r="Q13" s="709" t="s">
        <v>2768</v>
      </c>
      <c r="R13" s="697"/>
      <c r="S13" s="691"/>
      <c r="T13" s="384"/>
    </row>
    <row r="14" spans="1:96" ht="16.5" customHeight="1">
      <c r="A14" s="191"/>
      <c r="B14" s="412"/>
      <c r="C14" s="191"/>
      <c r="D14" s="372"/>
      <c r="E14" s="191"/>
      <c r="F14" s="191"/>
      <c r="G14" s="191"/>
      <c r="H14" s="191"/>
      <c r="I14" s="191"/>
      <c r="J14" s="191"/>
      <c r="K14" s="191"/>
      <c r="M14" s="383"/>
      <c r="N14" s="917"/>
      <c r="O14" s="1846" t="s">
        <v>2769</v>
      </c>
      <c r="P14" s="1846"/>
      <c r="Q14" s="1846"/>
      <c r="R14" s="1846"/>
      <c r="S14" s="1846"/>
      <c r="T14" s="384"/>
    </row>
    <row r="15" spans="1:96" ht="19.5" customHeight="1">
      <c r="A15" s="191"/>
      <c r="B15" s="412"/>
      <c r="C15" s="191"/>
      <c r="D15" s="372"/>
      <c r="E15" s="191"/>
      <c r="F15" s="191"/>
      <c r="G15" s="191"/>
      <c r="H15" s="191"/>
      <c r="I15" s="191"/>
      <c r="J15" s="191"/>
      <c r="K15" s="191"/>
      <c r="M15" s="383"/>
      <c r="N15" s="1844" t="s">
        <v>1675</v>
      </c>
      <c r="O15" s="1844"/>
      <c r="P15" s="1844"/>
      <c r="Q15" s="1844"/>
      <c r="R15" s="1844"/>
      <c r="S15" s="1844"/>
      <c r="T15" s="384"/>
    </row>
    <row r="16" spans="1:96" ht="36" customHeight="1">
      <c r="A16" s="191"/>
      <c r="B16" s="412"/>
      <c r="C16" s="191"/>
      <c r="D16" s="372"/>
      <c r="E16" s="191"/>
      <c r="F16" s="1854"/>
      <c r="G16" s="1854"/>
      <c r="H16" s="1854"/>
      <c r="I16" s="1854"/>
      <c r="J16" s="1854"/>
      <c r="K16" s="191"/>
      <c r="M16" s="383"/>
      <c r="N16" s="691"/>
      <c r="O16" s="691"/>
      <c r="P16" s="1870" t="s">
        <v>2770</v>
      </c>
      <c r="Q16" s="1870"/>
      <c r="R16" s="697"/>
      <c r="S16" s="691"/>
      <c r="T16" s="384"/>
    </row>
    <row r="17" spans="1:96" ht="45.75" customHeight="1">
      <c r="A17" s="191"/>
      <c r="B17" s="412"/>
      <c r="C17" s="191"/>
      <c r="D17" s="372"/>
      <c r="E17" s="1855"/>
      <c r="F17" s="1855"/>
      <c r="G17" s="1855"/>
      <c r="H17" s="1855"/>
      <c r="I17" s="1855"/>
      <c r="J17" s="1855"/>
      <c r="K17" s="1855"/>
      <c r="M17" s="383"/>
      <c r="N17" s="691"/>
      <c r="O17" s="691"/>
      <c r="P17" s="1866" t="s">
        <v>2271</v>
      </c>
      <c r="Q17" s="1866"/>
      <c r="R17" s="1866"/>
      <c r="S17" s="1866"/>
      <c r="T17" s="384"/>
    </row>
    <row r="18" spans="1:96" s="1257" customFormat="1" ht="26.25" customHeight="1">
      <c r="A18" s="191"/>
      <c r="B18" s="412"/>
      <c r="C18" s="191"/>
      <c r="D18" s="372"/>
      <c r="E18" s="1740"/>
      <c r="F18" s="1740"/>
      <c r="G18" s="1740"/>
      <c r="H18" s="1740"/>
      <c r="I18" s="1740"/>
      <c r="J18" s="1740"/>
      <c r="K18" s="1740"/>
      <c r="L18" s="199"/>
      <c r="M18" s="383"/>
      <c r="N18" s="691"/>
      <c r="O18" s="691"/>
      <c r="P18" s="1870" t="s">
        <v>2771</v>
      </c>
      <c r="Q18" s="1870"/>
      <c r="R18" s="1870"/>
      <c r="S18" s="1741"/>
      <c r="T18" s="384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</row>
    <row r="19" spans="1:96" ht="36" customHeight="1">
      <c r="A19" s="191"/>
      <c r="B19" s="412"/>
      <c r="C19" s="191"/>
      <c r="D19" s="372"/>
      <c r="E19" s="373"/>
      <c r="F19" s="1867"/>
      <c r="G19" s="1867"/>
      <c r="H19" s="1867"/>
      <c r="I19" s="1867"/>
      <c r="J19" s="1867"/>
      <c r="K19" s="373"/>
      <c r="M19" s="383"/>
      <c r="N19" s="691"/>
      <c r="O19" s="691"/>
      <c r="P19" s="1868" t="s">
        <v>2366</v>
      </c>
      <c r="Q19" s="1868"/>
      <c r="R19" s="1868"/>
      <c r="S19" s="1868"/>
      <c r="T19" s="384"/>
    </row>
    <row r="20" spans="1:96" ht="10.5" customHeight="1">
      <c r="A20" s="191"/>
      <c r="B20" s="412"/>
      <c r="C20" s="191"/>
      <c r="D20" s="372"/>
      <c r="E20" s="191"/>
      <c r="F20" s="191"/>
      <c r="G20" s="191"/>
      <c r="H20" s="191"/>
      <c r="I20" s="191"/>
      <c r="J20" s="191"/>
      <c r="K20" s="191"/>
      <c r="M20" s="383"/>
      <c r="N20" s="691"/>
      <c r="O20" s="881"/>
      <c r="P20" s="1863" t="s">
        <v>1657</v>
      </c>
      <c r="Q20" s="1863"/>
      <c r="R20" s="1863"/>
      <c r="S20" s="1863"/>
      <c r="T20" s="384"/>
    </row>
    <row r="21" spans="1:96" ht="18" customHeight="1">
      <c r="A21" s="191"/>
      <c r="B21" s="412"/>
      <c r="C21" s="191"/>
      <c r="D21" s="372"/>
      <c r="E21" s="191"/>
      <c r="F21" s="191"/>
      <c r="G21" s="191"/>
      <c r="H21" s="191"/>
      <c r="I21" s="191"/>
      <c r="J21" s="191"/>
      <c r="K21" s="191"/>
      <c r="M21" s="383"/>
      <c r="N21" s="691"/>
      <c r="O21" s="881"/>
      <c r="P21" s="1863"/>
      <c r="Q21" s="1863"/>
      <c r="R21" s="1863"/>
      <c r="S21" s="1863"/>
      <c r="T21" s="384"/>
      <c r="W21" s="1448"/>
    </row>
    <row r="22" spans="1:96" ht="16.5" customHeight="1">
      <c r="A22" s="191"/>
      <c r="B22" s="412"/>
      <c r="C22" s="191"/>
      <c r="D22" s="372"/>
      <c r="E22" s="191"/>
      <c r="F22" s="191"/>
      <c r="G22" s="191"/>
      <c r="H22" s="191"/>
      <c r="I22" s="191"/>
      <c r="J22" s="191"/>
      <c r="K22" s="191"/>
      <c r="M22" s="383"/>
      <c r="N22" s="691"/>
      <c r="O22" s="881"/>
      <c r="P22" s="1863"/>
      <c r="Q22" s="1863"/>
      <c r="R22" s="1863"/>
      <c r="S22" s="1863"/>
      <c r="T22" s="384"/>
    </row>
    <row r="23" spans="1:96" ht="18" customHeight="1">
      <c r="A23" s="191"/>
      <c r="B23" s="412"/>
      <c r="C23" s="191"/>
      <c r="D23" s="372"/>
      <c r="E23" s="191"/>
      <c r="F23" s="191"/>
      <c r="G23" s="191"/>
      <c r="H23" s="191"/>
      <c r="I23" s="191"/>
      <c r="J23" s="191"/>
      <c r="K23" s="191"/>
      <c r="M23" s="383"/>
      <c r="N23" s="691"/>
      <c r="O23" s="882"/>
      <c r="P23" s="883" t="s">
        <v>2437</v>
      </c>
      <c r="Q23" s="883"/>
      <c r="R23" s="883"/>
      <c r="S23" s="880"/>
      <c r="T23" s="384"/>
    </row>
    <row r="24" spans="1:96" ht="21.75" customHeight="1">
      <c r="A24" s="191"/>
      <c r="B24" s="412"/>
      <c r="C24" s="191"/>
      <c r="D24" s="372"/>
      <c r="E24" s="191"/>
      <c r="F24" s="191"/>
      <c r="G24" s="191"/>
      <c r="H24" s="191"/>
      <c r="I24" s="191"/>
      <c r="J24" s="191"/>
      <c r="K24" s="191"/>
      <c r="M24" s="383"/>
      <c r="N24" s="691"/>
      <c r="O24" s="691"/>
      <c r="P24" s="884" t="s">
        <v>2438</v>
      </c>
      <c r="Q24" s="884"/>
      <c r="R24" s="884"/>
      <c r="S24" s="879"/>
      <c r="T24" s="384"/>
      <c r="U24" s="812"/>
    </row>
    <row r="25" spans="1:96" ht="39" customHeight="1">
      <c r="A25" s="191"/>
      <c r="B25" s="412"/>
      <c r="C25" s="191"/>
      <c r="D25" s="372"/>
      <c r="E25" s="191"/>
      <c r="F25" s="191"/>
      <c r="G25" s="191"/>
      <c r="H25" s="191"/>
      <c r="I25" s="191"/>
      <c r="J25" s="191"/>
      <c r="K25" s="191"/>
      <c r="M25" s="383"/>
      <c r="N25" s="691"/>
      <c r="O25" s="691"/>
      <c r="P25" s="1842"/>
      <c r="Q25" s="1842"/>
      <c r="R25" s="1842"/>
      <c r="S25" s="1842"/>
      <c r="T25" s="384"/>
    </row>
    <row r="26" spans="1:96" ht="16.5" customHeight="1" thickBot="1">
      <c r="A26" s="191"/>
      <c r="B26" s="412"/>
      <c r="C26" s="191"/>
      <c r="D26" s="372"/>
      <c r="E26" s="191"/>
      <c r="F26" s="191"/>
      <c r="G26" s="191"/>
      <c r="H26" s="191"/>
      <c r="I26" s="191"/>
      <c r="J26" s="191"/>
      <c r="K26" s="191"/>
      <c r="M26" s="385"/>
      <c r="N26" s="693"/>
      <c r="O26" s="693"/>
      <c r="P26" s="1845"/>
      <c r="Q26" s="1845"/>
      <c r="R26" s="1845"/>
      <c r="S26" s="693"/>
      <c r="T26" s="386"/>
    </row>
    <row r="27" spans="1:96" ht="17.25" customHeight="1">
      <c r="A27" s="191"/>
      <c r="B27" s="412"/>
      <c r="C27" s="191"/>
      <c r="D27" s="372"/>
      <c r="E27" s="191"/>
      <c r="F27" s="191"/>
      <c r="G27" s="191"/>
      <c r="H27" s="191"/>
      <c r="I27" s="191"/>
      <c r="J27" s="191"/>
      <c r="K27" s="191"/>
    </row>
    <row r="28" spans="1:96" s="1257" customFormat="1" ht="17.25" customHeight="1">
      <c r="A28" s="191"/>
      <c r="B28" s="412"/>
      <c r="C28" s="191"/>
      <c r="D28" s="372"/>
      <c r="E28" s="191"/>
      <c r="F28" s="191"/>
      <c r="G28" s="191"/>
      <c r="H28" s="191"/>
      <c r="I28" s="191"/>
      <c r="J28" s="191"/>
      <c r="K28" s="191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</row>
    <row r="29" spans="1:96" s="1257" customFormat="1" ht="17.25" customHeight="1">
      <c r="A29" s="191"/>
      <c r="B29" s="412"/>
      <c r="C29" s="191"/>
      <c r="D29" s="372"/>
      <c r="E29" s="191"/>
      <c r="F29" s="191"/>
      <c r="G29" s="191"/>
      <c r="H29" s="191"/>
      <c r="I29" s="191"/>
      <c r="J29" s="191"/>
      <c r="K29" s="191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</row>
    <row r="30" spans="1:96" s="1257" customFormat="1" ht="17.25" customHeight="1">
      <c r="A30" s="191"/>
      <c r="B30" s="412"/>
      <c r="C30" s="191"/>
      <c r="D30" s="372"/>
      <c r="E30" s="191"/>
      <c r="F30" s="191"/>
      <c r="G30" s="191"/>
      <c r="H30" s="191"/>
      <c r="I30" s="191"/>
      <c r="J30" s="191"/>
      <c r="K30" s="191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</row>
    <row r="31" spans="1:96" s="1257" customFormat="1" ht="17.25" customHeight="1">
      <c r="A31" s="191"/>
      <c r="B31" s="412"/>
      <c r="C31" s="191"/>
      <c r="D31" s="372"/>
      <c r="E31" s="191"/>
      <c r="F31" s="191"/>
      <c r="G31" s="191"/>
      <c r="H31" s="191"/>
      <c r="I31" s="191"/>
      <c r="J31" s="191"/>
      <c r="K31" s="191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</row>
    <row r="32" spans="1:96" s="1257" customFormat="1" ht="17.25" customHeight="1">
      <c r="A32" s="191"/>
      <c r="B32" s="412"/>
      <c r="C32" s="191"/>
      <c r="D32" s="372"/>
      <c r="E32" s="191"/>
      <c r="F32" s="191"/>
      <c r="G32" s="191"/>
      <c r="H32" s="191"/>
      <c r="I32" s="191"/>
      <c r="J32" s="191"/>
      <c r="K32" s="191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</row>
    <row r="33" spans="1:96" s="1257" customFormat="1" ht="17.25" customHeight="1">
      <c r="A33" s="191"/>
      <c r="B33" s="412"/>
      <c r="C33" s="191"/>
      <c r="D33" s="372"/>
      <c r="E33" s="191"/>
      <c r="F33" s="191"/>
      <c r="G33" s="191"/>
      <c r="H33" s="191"/>
      <c r="I33" s="191"/>
      <c r="J33" s="191"/>
      <c r="K33" s="191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</row>
    <row r="34" spans="1:96" ht="15" customHeight="1">
      <c r="A34" s="191"/>
      <c r="B34" s="412"/>
      <c r="C34" s="191"/>
      <c r="D34" s="372"/>
      <c r="E34" s="191"/>
      <c r="F34" s="191"/>
      <c r="G34" s="191"/>
      <c r="H34" s="191"/>
      <c r="I34" s="191"/>
      <c r="J34" s="191"/>
      <c r="K34" s="191"/>
    </row>
    <row r="35" spans="1:96" ht="15" customHeight="1">
      <c r="A35" s="191"/>
      <c r="B35" s="412"/>
      <c r="C35" s="191"/>
      <c r="D35" s="372"/>
      <c r="E35" s="191"/>
      <c r="F35" s="191"/>
      <c r="G35" s="191"/>
      <c r="H35" s="191"/>
      <c r="I35" s="191"/>
      <c r="J35" s="191"/>
      <c r="K35" s="191"/>
    </row>
    <row r="36" spans="1:96" ht="15" customHeight="1">
      <c r="A36" s="191"/>
      <c r="B36" s="412"/>
      <c r="C36" s="191"/>
      <c r="D36" s="372"/>
      <c r="E36" s="191"/>
      <c r="F36" s="191"/>
      <c r="G36" s="191"/>
      <c r="H36" s="191"/>
      <c r="I36" s="191"/>
      <c r="J36" s="191"/>
      <c r="K36" s="191"/>
    </row>
    <row r="37" spans="1:96" ht="12.75" customHeight="1">
      <c r="A37" s="191"/>
      <c r="B37" s="412"/>
      <c r="C37" s="191"/>
      <c r="D37" s="372"/>
      <c r="E37" s="191"/>
      <c r="F37" s="191"/>
      <c r="G37" s="191"/>
      <c r="H37" s="191"/>
      <c r="I37" s="191"/>
      <c r="J37" s="191"/>
      <c r="K37" s="191"/>
      <c r="N37" s="200"/>
      <c r="O37" s="200"/>
      <c r="P37" s="217"/>
      <c r="Q37" s="1864"/>
      <c r="R37" s="1865"/>
      <c r="S37" s="1865"/>
      <c r="T37" s="200"/>
    </row>
    <row r="38" spans="1:96" ht="21.75" customHeight="1" thickBot="1">
      <c r="A38" s="191"/>
      <c r="B38" s="412"/>
      <c r="C38" s="191"/>
      <c r="D38" s="372"/>
      <c r="E38" s="191"/>
      <c r="F38" s="191"/>
      <c r="G38" s="191"/>
      <c r="H38" s="191"/>
      <c r="I38" s="191"/>
      <c r="J38" s="191"/>
      <c r="K38" s="191"/>
      <c r="N38" s="200"/>
      <c r="O38" s="200"/>
      <c r="P38" s="200"/>
      <c r="Q38" s="200"/>
      <c r="R38" s="200"/>
      <c r="S38" s="200"/>
      <c r="T38" s="200"/>
    </row>
    <row r="39" spans="1:96" ht="37.5" customHeight="1">
      <c r="A39" s="191"/>
      <c r="B39" s="412"/>
      <c r="C39" s="710"/>
      <c r="D39" s="711"/>
      <c r="E39" s="711"/>
      <c r="F39" s="711"/>
      <c r="G39" s="711"/>
      <c r="H39" s="711"/>
      <c r="I39" s="711"/>
      <c r="J39" s="712"/>
      <c r="K39" s="191"/>
      <c r="M39" s="1857" t="s">
        <v>1364</v>
      </c>
      <c r="N39" s="1858"/>
      <c r="O39" s="1858"/>
      <c r="P39" s="1858"/>
      <c r="Q39" s="1858"/>
      <c r="R39" s="1858"/>
      <c r="S39" s="1858"/>
      <c r="T39" s="1859"/>
    </row>
    <row r="40" spans="1:96" s="814" customFormat="1" ht="28.5" customHeight="1">
      <c r="A40" s="813"/>
      <c r="B40" s="412"/>
      <c r="C40" s="1856" t="s">
        <v>892</v>
      </c>
      <c r="D40" s="1849"/>
      <c r="E40" s="1849"/>
      <c r="F40" s="1849"/>
      <c r="G40" s="1849"/>
      <c r="H40" s="1849"/>
      <c r="I40" s="1849"/>
      <c r="J40" s="1850"/>
      <c r="K40" s="388"/>
      <c r="L40" s="812"/>
      <c r="M40" s="1860"/>
      <c r="N40" s="1861"/>
      <c r="O40" s="1861"/>
      <c r="P40" s="1861"/>
      <c r="Q40" s="1861"/>
      <c r="R40" s="1861"/>
      <c r="S40" s="1861"/>
      <c r="T40" s="1862"/>
      <c r="U40" s="812"/>
      <c r="V40" s="812"/>
      <c r="W40" s="812"/>
      <c r="X40" s="812"/>
      <c r="Y40" s="812"/>
      <c r="Z40" s="812"/>
      <c r="AA40" s="812"/>
      <c r="AB40" s="812"/>
      <c r="AC40" s="812"/>
      <c r="AD40" s="812"/>
      <c r="AE40" s="812"/>
      <c r="AF40" s="812"/>
      <c r="AG40" s="812"/>
      <c r="AH40" s="812"/>
      <c r="AI40" s="812"/>
      <c r="AJ40" s="812"/>
      <c r="AK40" s="812"/>
      <c r="AL40" s="812"/>
      <c r="AM40" s="812"/>
      <c r="AN40" s="812"/>
      <c r="AO40" s="812"/>
      <c r="AP40" s="812"/>
      <c r="AQ40" s="812"/>
      <c r="AR40" s="812"/>
      <c r="AS40" s="812"/>
      <c r="AT40" s="812"/>
      <c r="AU40" s="812"/>
      <c r="AV40" s="812"/>
      <c r="AW40" s="812"/>
      <c r="AX40" s="812"/>
      <c r="AY40" s="812"/>
      <c r="AZ40" s="812"/>
      <c r="BA40" s="812"/>
      <c r="BB40" s="812"/>
      <c r="BC40" s="812"/>
      <c r="BD40" s="812"/>
      <c r="BE40" s="812"/>
      <c r="BF40" s="812"/>
      <c r="BG40" s="812"/>
      <c r="BH40" s="812"/>
      <c r="BI40" s="812"/>
      <c r="BJ40" s="812"/>
      <c r="BK40" s="812"/>
      <c r="BL40" s="812"/>
      <c r="BM40" s="812"/>
      <c r="BN40" s="812"/>
      <c r="BO40" s="812"/>
      <c r="BP40" s="812"/>
      <c r="BQ40" s="812"/>
      <c r="BR40" s="812"/>
      <c r="BS40" s="812"/>
      <c r="BT40" s="812"/>
      <c r="BU40" s="812"/>
      <c r="BV40" s="812"/>
      <c r="BW40" s="812"/>
      <c r="BX40" s="812"/>
      <c r="BY40" s="812"/>
      <c r="BZ40" s="812"/>
      <c r="CA40" s="812"/>
      <c r="CB40" s="812"/>
      <c r="CC40" s="812"/>
      <c r="CD40" s="812"/>
      <c r="CE40" s="812"/>
      <c r="CF40" s="812"/>
      <c r="CG40" s="812"/>
      <c r="CH40" s="812"/>
      <c r="CI40" s="812"/>
      <c r="CJ40" s="812"/>
      <c r="CK40" s="812"/>
      <c r="CL40" s="812"/>
      <c r="CM40" s="812"/>
      <c r="CN40" s="812"/>
      <c r="CO40" s="812"/>
      <c r="CP40" s="812"/>
      <c r="CQ40" s="812"/>
      <c r="CR40" s="812"/>
    </row>
    <row r="41" spans="1:96" s="816" customFormat="1" ht="23.25" customHeight="1">
      <c r="A41" s="813"/>
      <c r="B41" s="374"/>
      <c r="C41" s="1848" t="s">
        <v>893</v>
      </c>
      <c r="D41" s="1849"/>
      <c r="E41" s="1849"/>
      <c r="F41" s="1849"/>
      <c r="G41" s="1849"/>
      <c r="H41" s="1849"/>
      <c r="I41" s="1849"/>
      <c r="J41" s="1850"/>
      <c r="K41" s="389"/>
      <c r="L41" s="815"/>
      <c r="M41" s="1860"/>
      <c r="N41" s="1861"/>
      <c r="O41" s="1861"/>
      <c r="P41" s="1861"/>
      <c r="Q41" s="1861"/>
      <c r="R41" s="1861"/>
      <c r="S41" s="1861"/>
      <c r="T41" s="1862"/>
      <c r="U41" s="815"/>
      <c r="V41" s="815"/>
      <c r="W41" s="815"/>
      <c r="X41" s="815"/>
      <c r="Y41" s="815"/>
      <c r="Z41" s="815"/>
      <c r="AA41" s="815"/>
      <c r="AB41" s="815"/>
      <c r="AC41" s="815"/>
      <c r="AD41" s="815"/>
      <c r="AE41" s="815"/>
      <c r="AF41" s="815"/>
      <c r="AG41" s="815"/>
      <c r="AH41" s="815"/>
      <c r="AI41" s="815"/>
      <c r="AJ41" s="815"/>
      <c r="AK41" s="815"/>
      <c r="AL41" s="815"/>
      <c r="AM41" s="815"/>
      <c r="AN41" s="815"/>
      <c r="AO41" s="815"/>
      <c r="AP41" s="815"/>
      <c r="AQ41" s="815"/>
      <c r="AR41" s="815"/>
      <c r="AS41" s="815"/>
      <c r="AT41" s="815"/>
      <c r="AU41" s="815"/>
      <c r="AV41" s="815"/>
      <c r="AW41" s="815"/>
      <c r="AX41" s="815"/>
      <c r="AY41" s="815"/>
      <c r="AZ41" s="815"/>
      <c r="BA41" s="815"/>
      <c r="BB41" s="815"/>
      <c r="BC41" s="815"/>
      <c r="BD41" s="815"/>
      <c r="BE41" s="815"/>
      <c r="BF41" s="815"/>
      <c r="BG41" s="815"/>
      <c r="BH41" s="815"/>
      <c r="BI41" s="815"/>
      <c r="BJ41" s="815"/>
      <c r="BK41" s="815"/>
      <c r="BL41" s="815"/>
      <c r="BM41" s="815"/>
      <c r="BN41" s="815"/>
      <c r="BO41" s="815"/>
      <c r="BP41" s="815"/>
      <c r="BQ41" s="815"/>
      <c r="BR41" s="815"/>
      <c r="BS41" s="815"/>
      <c r="BT41" s="815"/>
      <c r="BU41" s="815"/>
      <c r="BV41" s="815"/>
      <c r="BW41" s="815"/>
      <c r="BX41" s="815"/>
      <c r="BY41" s="815"/>
      <c r="BZ41" s="815"/>
      <c r="CA41" s="815"/>
      <c r="CB41" s="815"/>
      <c r="CC41" s="815"/>
      <c r="CD41" s="815"/>
      <c r="CE41" s="815"/>
      <c r="CF41" s="815"/>
      <c r="CG41" s="815"/>
      <c r="CH41" s="815"/>
      <c r="CI41" s="815"/>
      <c r="CJ41" s="815"/>
      <c r="CK41" s="815"/>
      <c r="CL41" s="815"/>
      <c r="CM41" s="815"/>
      <c r="CN41" s="815"/>
      <c r="CO41" s="815"/>
      <c r="CP41" s="815"/>
      <c r="CQ41" s="815"/>
      <c r="CR41" s="815"/>
    </row>
    <row r="42" spans="1:96" s="816" customFormat="1" ht="24.75" customHeight="1">
      <c r="A42" s="813"/>
      <c r="B42" s="374"/>
      <c r="C42" s="1869" t="s">
        <v>2772</v>
      </c>
      <c r="D42" s="1849"/>
      <c r="E42" s="1849"/>
      <c r="F42" s="1849"/>
      <c r="G42" s="1849"/>
      <c r="H42" s="1849"/>
      <c r="I42" s="1849"/>
      <c r="J42" s="1850"/>
      <c r="K42" s="390"/>
      <c r="L42" s="815"/>
      <c r="M42" s="1860"/>
      <c r="N42" s="1861"/>
      <c r="O42" s="1861"/>
      <c r="P42" s="1861"/>
      <c r="Q42" s="1861"/>
      <c r="R42" s="1861"/>
      <c r="S42" s="1861"/>
      <c r="T42" s="1862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  <c r="AO42" s="815"/>
      <c r="AP42" s="815"/>
      <c r="AQ42" s="815"/>
      <c r="AR42" s="815"/>
      <c r="AS42" s="815"/>
      <c r="AT42" s="815"/>
      <c r="AU42" s="815"/>
      <c r="AV42" s="815"/>
      <c r="AW42" s="815"/>
      <c r="AX42" s="815"/>
      <c r="AY42" s="815"/>
      <c r="AZ42" s="815"/>
      <c r="BA42" s="815"/>
      <c r="BB42" s="815"/>
      <c r="BC42" s="815"/>
      <c r="BD42" s="815"/>
      <c r="BE42" s="815"/>
      <c r="BF42" s="815"/>
      <c r="BG42" s="815"/>
      <c r="BH42" s="815"/>
      <c r="BI42" s="815"/>
      <c r="BJ42" s="815"/>
      <c r="BK42" s="815"/>
      <c r="BL42" s="815"/>
      <c r="BM42" s="815"/>
      <c r="BN42" s="815"/>
      <c r="BO42" s="815"/>
      <c r="BP42" s="815"/>
      <c r="BQ42" s="815"/>
      <c r="BR42" s="815"/>
      <c r="BS42" s="815"/>
      <c r="BT42" s="815"/>
      <c r="BU42" s="815"/>
      <c r="BV42" s="815"/>
      <c r="BW42" s="815"/>
      <c r="BX42" s="815"/>
      <c r="BY42" s="815"/>
      <c r="BZ42" s="815"/>
      <c r="CA42" s="815"/>
      <c r="CB42" s="815"/>
      <c r="CC42" s="815"/>
      <c r="CD42" s="815"/>
      <c r="CE42" s="815"/>
      <c r="CF42" s="815"/>
      <c r="CG42" s="815"/>
      <c r="CH42" s="815"/>
      <c r="CI42" s="815"/>
      <c r="CJ42" s="815"/>
      <c r="CK42" s="815"/>
      <c r="CL42" s="815"/>
      <c r="CM42" s="815"/>
      <c r="CN42" s="815"/>
      <c r="CO42" s="815"/>
      <c r="CP42" s="815"/>
      <c r="CQ42" s="815"/>
      <c r="CR42" s="815"/>
    </row>
    <row r="43" spans="1:96" s="199" customFormat="1" ht="20.25" customHeight="1">
      <c r="B43" s="817"/>
      <c r="C43" s="704"/>
      <c r="D43" s="705"/>
      <c r="E43" s="705"/>
      <c r="F43" s="705"/>
      <c r="G43" s="705"/>
      <c r="H43" s="705"/>
      <c r="I43" s="705"/>
      <c r="J43" s="706"/>
      <c r="K43" s="387"/>
      <c r="M43" s="694"/>
      <c r="N43" s="695"/>
      <c r="O43" s="1838" t="s">
        <v>2767</v>
      </c>
      <c r="P43" s="1838"/>
      <c r="Q43" s="1838"/>
      <c r="R43" s="1838"/>
      <c r="S43" s="1838"/>
      <c r="T43" s="1415"/>
    </row>
    <row r="44" spans="1:96" s="199" customFormat="1" ht="15.75" customHeight="1">
      <c r="B44" s="817"/>
      <c r="C44" s="704"/>
      <c r="D44" s="705"/>
      <c r="E44" s="705"/>
      <c r="F44" s="705"/>
      <c r="G44" s="705"/>
      <c r="H44" s="705"/>
      <c r="I44" s="705"/>
      <c r="J44" s="706"/>
      <c r="K44" s="387"/>
      <c r="M44" s="696"/>
      <c r="N44" s="697"/>
      <c r="O44" s="1840" t="s">
        <v>2766</v>
      </c>
      <c r="P44" s="1840"/>
      <c r="Q44" s="1840"/>
      <c r="R44" s="1840"/>
      <c r="S44" s="885"/>
      <c r="T44" s="886"/>
    </row>
    <row r="45" spans="1:96" s="199" customFormat="1" ht="17.25" customHeight="1">
      <c r="B45" s="817"/>
      <c r="C45" s="704"/>
      <c r="D45" s="705"/>
      <c r="E45" s="705"/>
      <c r="F45" s="705"/>
      <c r="G45" s="705"/>
      <c r="H45" s="705"/>
      <c r="I45" s="705"/>
      <c r="J45" s="706"/>
      <c r="K45" s="387"/>
      <c r="M45" s="696"/>
      <c r="N45" s="697"/>
      <c r="O45" s="1840" t="s">
        <v>825</v>
      </c>
      <c r="P45" s="1840"/>
      <c r="Q45" s="1840"/>
      <c r="R45" s="1738"/>
      <c r="S45" s="887"/>
      <c r="T45" s="888"/>
    </row>
    <row r="46" spans="1:96" s="199" customFormat="1" ht="17.25" customHeight="1">
      <c r="B46" s="817"/>
      <c r="C46" s="704"/>
      <c r="D46" s="705"/>
      <c r="E46" s="705"/>
      <c r="F46" s="705"/>
      <c r="G46" s="705"/>
      <c r="H46" s="705"/>
      <c r="I46" s="705"/>
      <c r="J46" s="706"/>
      <c r="K46" s="387"/>
      <c r="M46" s="696"/>
      <c r="N46" s="692"/>
      <c r="O46" s="1840" t="s">
        <v>826</v>
      </c>
      <c r="P46" s="1840"/>
      <c r="Q46" s="1840"/>
      <c r="R46" s="1738"/>
      <c r="S46" s="1739"/>
      <c r="T46" s="888"/>
    </row>
    <row r="47" spans="1:96" s="199" customFormat="1" ht="24.75" customHeight="1">
      <c r="B47" s="817"/>
      <c r="C47" s="704"/>
      <c r="D47" s="705"/>
      <c r="E47" s="705"/>
      <c r="F47" s="705"/>
      <c r="G47" s="705"/>
      <c r="H47" s="705"/>
      <c r="I47" s="705"/>
      <c r="J47" s="706"/>
      <c r="K47" s="387"/>
      <c r="M47" s="699"/>
      <c r="N47" s="692"/>
      <c r="O47" s="1840" t="s">
        <v>1365</v>
      </c>
      <c r="P47" s="1840"/>
      <c r="Q47" s="1840"/>
      <c r="R47" s="1271"/>
      <c r="S47" s="878"/>
      <c r="T47" s="888"/>
    </row>
    <row r="48" spans="1:96" s="199" customFormat="1" ht="15.75" customHeight="1">
      <c r="B48" s="817"/>
      <c r="C48" s="713"/>
      <c r="D48" s="714"/>
      <c r="E48" s="714"/>
      <c r="F48" s="714"/>
      <c r="G48" s="714"/>
      <c r="H48" s="714"/>
      <c r="I48" s="714"/>
      <c r="J48" s="715"/>
      <c r="K48" s="387"/>
      <c r="M48" s="699"/>
      <c r="N48" s="692"/>
      <c r="O48" s="1519"/>
      <c r="P48" s="1519"/>
      <c r="Q48" s="1519"/>
      <c r="R48" s="1519"/>
      <c r="S48" s="1520"/>
      <c r="T48" s="888"/>
    </row>
    <row r="49" spans="2:20" s="199" customFormat="1" ht="18" customHeight="1">
      <c r="B49" s="817"/>
      <c r="C49" s="1742"/>
      <c r="D49" s="1743"/>
      <c r="E49" s="1743"/>
      <c r="F49" s="1743"/>
      <c r="G49" s="1743"/>
      <c r="H49" s="1743"/>
      <c r="I49" s="1743"/>
      <c r="J49" s="1744"/>
      <c r="K49" s="391"/>
      <c r="M49" s="699"/>
      <c r="N49" s="692"/>
      <c r="O49" s="1838" t="s">
        <v>2367</v>
      </c>
      <c r="P49" s="1838"/>
      <c r="Q49" s="1838"/>
      <c r="R49" s="1838"/>
      <c r="S49" s="1838"/>
      <c r="T49" s="698"/>
    </row>
    <row r="50" spans="2:20" s="199" customFormat="1" ht="18.75" customHeight="1">
      <c r="B50" s="817"/>
      <c r="C50" s="1742"/>
      <c r="D50" s="1743"/>
      <c r="E50" s="1743"/>
      <c r="F50" s="1743"/>
      <c r="G50" s="1743"/>
      <c r="H50" s="1743"/>
      <c r="I50" s="1743"/>
      <c r="J50" s="1744"/>
      <c r="K50" s="391"/>
      <c r="M50" s="699"/>
      <c r="N50" s="692"/>
      <c r="O50" s="1840" t="s">
        <v>2263</v>
      </c>
      <c r="P50" s="1840"/>
      <c r="Q50" s="1840"/>
      <c r="R50" s="1840"/>
      <c r="S50" s="885"/>
      <c r="T50" s="698"/>
    </row>
    <row r="51" spans="2:20" s="199" customFormat="1" ht="14.25" customHeight="1">
      <c r="B51" s="817"/>
      <c r="C51" s="716"/>
      <c r="D51" s="717"/>
      <c r="E51" s="717"/>
      <c r="F51" s="717"/>
      <c r="G51" s="717"/>
      <c r="H51" s="717"/>
      <c r="I51" s="717"/>
      <c r="J51" s="718"/>
      <c r="K51" s="200"/>
      <c r="M51" s="699"/>
      <c r="N51" s="692"/>
      <c r="O51" s="1840" t="s">
        <v>825</v>
      </c>
      <c r="P51" s="1840"/>
      <c r="Q51" s="1840"/>
      <c r="R51" s="1738"/>
      <c r="S51" s="887"/>
      <c r="T51" s="698"/>
    </row>
    <row r="52" spans="2:20" s="199" customFormat="1" ht="14.25" customHeight="1">
      <c r="B52" s="817"/>
      <c r="C52" s="716"/>
      <c r="D52" s="717"/>
      <c r="E52" s="717"/>
      <c r="F52" s="717"/>
      <c r="G52" s="717"/>
      <c r="H52" s="717"/>
      <c r="I52" s="717"/>
      <c r="J52" s="718"/>
      <c r="K52" s="200"/>
      <c r="M52" s="696"/>
      <c r="N52" s="697"/>
      <c r="O52" s="1840" t="s">
        <v>826</v>
      </c>
      <c r="P52" s="1840"/>
      <c r="Q52" s="1840"/>
      <c r="R52" s="1738"/>
      <c r="S52" s="1739"/>
      <c r="T52" s="698"/>
    </row>
    <row r="53" spans="2:20" s="199" customFormat="1" ht="20.25" customHeight="1">
      <c r="B53" s="817"/>
      <c r="C53" s="1851" t="s">
        <v>1975</v>
      </c>
      <c r="D53" s="1852"/>
      <c r="E53" s="1852"/>
      <c r="F53" s="1852"/>
      <c r="G53" s="1852"/>
      <c r="H53" s="1852"/>
      <c r="I53" s="1852"/>
      <c r="J53" s="1853"/>
      <c r="K53" s="200"/>
      <c r="M53" s="696"/>
      <c r="N53" s="697"/>
      <c r="O53" s="1840" t="s">
        <v>1365</v>
      </c>
      <c r="P53" s="1840"/>
      <c r="Q53" s="1840"/>
      <c r="R53" s="1738"/>
      <c r="S53" s="1739"/>
      <c r="T53" s="698"/>
    </row>
    <row r="54" spans="2:20" s="199" customFormat="1" ht="19.5" customHeight="1">
      <c r="B54" s="817"/>
      <c r="C54" s="1851" t="s">
        <v>891</v>
      </c>
      <c r="D54" s="1852"/>
      <c r="E54" s="1852"/>
      <c r="F54" s="1852"/>
      <c r="G54" s="1852"/>
      <c r="H54" s="1852"/>
      <c r="I54" s="1852"/>
      <c r="J54" s="1853"/>
      <c r="K54" s="200"/>
      <c r="M54" s="696"/>
      <c r="N54" s="697"/>
      <c r="O54" s="1519"/>
      <c r="P54" s="1519"/>
      <c r="Q54" s="1519"/>
      <c r="R54" s="697"/>
      <c r="S54" s="697"/>
      <c r="T54" s="698"/>
    </row>
    <row r="55" spans="2:20" s="199" customFormat="1" ht="15.75" customHeight="1">
      <c r="B55" s="817"/>
      <c r="C55" s="716"/>
      <c r="D55" s="717"/>
      <c r="E55" s="717"/>
      <c r="F55" s="717"/>
      <c r="G55" s="717"/>
      <c r="H55" s="717"/>
      <c r="I55" s="717"/>
      <c r="J55" s="718"/>
      <c r="K55" s="200"/>
      <c r="M55" s="696"/>
      <c r="N55" s="697"/>
      <c r="O55" s="889"/>
      <c r="P55" s="889"/>
      <c r="Q55" s="889"/>
      <c r="R55" s="697"/>
      <c r="S55" s="697"/>
      <c r="T55" s="698"/>
    </row>
    <row r="56" spans="2:20" s="199" customFormat="1" ht="14.25" customHeight="1">
      <c r="B56" s="817"/>
      <c r="C56" s="716"/>
      <c r="D56" s="717"/>
      <c r="E56" s="717"/>
      <c r="F56" s="717"/>
      <c r="G56" s="717"/>
      <c r="H56" s="717"/>
      <c r="I56" s="717"/>
      <c r="J56" s="718"/>
      <c r="K56" s="200"/>
      <c r="M56" s="696"/>
      <c r="N56" s="697"/>
      <c r="O56" s="1847" t="s">
        <v>1628</v>
      </c>
      <c r="P56" s="1847"/>
      <c r="Q56" s="1847"/>
      <c r="R56" s="1847"/>
      <c r="S56" s="1847"/>
      <c r="T56" s="1415"/>
    </row>
    <row r="57" spans="2:20" s="199" customFormat="1" ht="16.5" customHeight="1">
      <c r="B57" s="817"/>
      <c r="C57" s="716"/>
      <c r="D57" s="717"/>
      <c r="E57" s="717"/>
      <c r="F57" s="717"/>
      <c r="G57" s="717"/>
      <c r="H57" s="717"/>
      <c r="I57" s="717"/>
      <c r="J57" s="718"/>
      <c r="K57" s="200"/>
      <c r="M57" s="696"/>
      <c r="N57" s="697"/>
      <c r="O57" s="1840" t="s">
        <v>1579</v>
      </c>
      <c r="P57" s="1840"/>
      <c r="Q57" s="1840"/>
      <c r="R57" s="692"/>
      <c r="S57" s="692"/>
      <c r="T57" s="698"/>
    </row>
    <row r="58" spans="2:20" s="199" customFormat="1" ht="16.5" customHeight="1">
      <c r="B58" s="817"/>
      <c r="C58" s="716"/>
      <c r="D58" s="717"/>
      <c r="E58" s="717"/>
      <c r="F58" s="717"/>
      <c r="G58" s="717"/>
      <c r="H58" s="717"/>
      <c r="I58" s="717"/>
      <c r="J58" s="718"/>
      <c r="K58" s="200"/>
      <c r="M58" s="696"/>
      <c r="N58" s="697"/>
      <c r="O58" s="1840" t="s">
        <v>825</v>
      </c>
      <c r="P58" s="1840"/>
      <c r="Q58" s="1840"/>
      <c r="R58" s="700"/>
      <c r="S58" s="692"/>
      <c r="T58" s="698"/>
    </row>
    <row r="59" spans="2:20" s="199" customFormat="1" ht="16.5" customHeight="1">
      <c r="B59" s="817"/>
      <c r="C59" s="716"/>
      <c r="D59" s="717"/>
      <c r="E59" s="717"/>
      <c r="F59" s="717"/>
      <c r="G59" s="717"/>
      <c r="H59" s="717"/>
      <c r="I59" s="717"/>
      <c r="J59" s="718"/>
      <c r="K59" s="200"/>
      <c r="M59" s="696"/>
      <c r="N59" s="697"/>
      <c r="O59" s="1840" t="s">
        <v>826</v>
      </c>
      <c r="P59" s="1840"/>
      <c r="Q59" s="1840"/>
      <c r="R59" s="697"/>
      <c r="S59" s="697"/>
      <c r="T59" s="698"/>
    </row>
    <row r="60" spans="2:20" s="199" customFormat="1" ht="16.5" customHeight="1">
      <c r="B60" s="817"/>
      <c r="C60" s="716"/>
      <c r="D60" s="717"/>
      <c r="E60" s="717"/>
      <c r="F60" s="717"/>
      <c r="G60" s="717"/>
      <c r="H60" s="717"/>
      <c r="I60" s="717"/>
      <c r="J60" s="718"/>
      <c r="K60" s="200"/>
      <c r="M60" s="696"/>
      <c r="N60" s="697"/>
      <c r="O60" s="1840" t="s">
        <v>1580</v>
      </c>
      <c r="P60" s="1840"/>
      <c r="Q60" s="1840"/>
      <c r="R60" s="697"/>
      <c r="S60" s="697"/>
      <c r="T60" s="698"/>
    </row>
    <row r="61" spans="2:20" s="199" customFormat="1" ht="18" customHeight="1">
      <c r="B61" s="817"/>
      <c r="C61" s="716"/>
      <c r="D61" s="717"/>
      <c r="E61" s="717"/>
      <c r="F61" s="717"/>
      <c r="G61" s="717"/>
      <c r="H61" s="717"/>
      <c r="I61" s="717"/>
      <c r="J61" s="718"/>
      <c r="K61" s="200"/>
      <c r="M61" s="696"/>
      <c r="N61" s="697"/>
      <c r="O61" s="1841"/>
      <c r="P61" s="1841"/>
      <c r="Q61" s="1841"/>
      <c r="R61" s="1841"/>
      <c r="S61" s="697"/>
      <c r="T61" s="698"/>
    </row>
    <row r="62" spans="2:20" s="199" customFormat="1" ht="19.5" customHeight="1">
      <c r="B62" s="817"/>
      <c r="C62" s="716"/>
      <c r="D62" s="717"/>
      <c r="E62" s="717"/>
      <c r="F62" s="717"/>
      <c r="G62" s="717"/>
      <c r="H62" s="717"/>
      <c r="I62" s="717"/>
      <c r="J62" s="718"/>
      <c r="K62" s="200"/>
      <c r="M62" s="696"/>
      <c r="N62" s="697"/>
      <c r="O62" s="1838" t="s">
        <v>2418</v>
      </c>
      <c r="P62" s="1838"/>
      <c r="Q62" s="1838"/>
      <c r="R62" s="1838"/>
      <c r="S62" s="1838"/>
      <c r="T62" s="698"/>
    </row>
    <row r="63" spans="2:20" s="199" customFormat="1" ht="15.75" customHeight="1">
      <c r="B63" s="817"/>
      <c r="C63" s="716"/>
      <c r="D63" s="717"/>
      <c r="E63" s="717"/>
      <c r="F63" s="717"/>
      <c r="G63" s="717"/>
      <c r="H63" s="717"/>
      <c r="I63" s="717"/>
      <c r="J63" s="718"/>
      <c r="K63" s="200"/>
      <c r="M63" s="716"/>
      <c r="N63" s="717"/>
      <c r="O63" s="1839" t="s">
        <v>2419</v>
      </c>
      <c r="P63" s="1839"/>
      <c r="Q63" s="1839"/>
      <c r="R63" s="697"/>
      <c r="S63" s="697"/>
      <c r="T63" s="718"/>
    </row>
    <row r="64" spans="2:20" s="199" customFormat="1" ht="18" customHeight="1">
      <c r="B64" s="817"/>
      <c r="C64" s="716"/>
      <c r="D64" s="717"/>
      <c r="E64" s="717"/>
      <c r="F64" s="717"/>
      <c r="G64" s="717"/>
      <c r="H64" s="717"/>
      <c r="I64" s="717"/>
      <c r="J64" s="718"/>
      <c r="K64" s="200"/>
      <c r="M64" s="716"/>
      <c r="N64" s="717"/>
      <c r="O64" s="1839" t="s">
        <v>825</v>
      </c>
      <c r="P64" s="1839"/>
      <c r="Q64" s="1839"/>
      <c r="R64" s="697"/>
      <c r="S64" s="697"/>
      <c r="T64" s="718"/>
    </row>
    <row r="65" spans="2:20" s="199" customFormat="1" ht="18" customHeight="1">
      <c r="B65" s="817"/>
      <c r="C65" s="716"/>
      <c r="D65" s="717"/>
      <c r="E65" s="717"/>
      <c r="F65" s="717"/>
      <c r="G65" s="717"/>
      <c r="H65" s="717"/>
      <c r="I65" s="717"/>
      <c r="J65" s="718"/>
      <c r="M65" s="716"/>
      <c r="N65" s="717"/>
      <c r="O65" s="1839" t="s">
        <v>826</v>
      </c>
      <c r="P65" s="1839"/>
      <c r="Q65" s="1839"/>
      <c r="R65" s="697"/>
      <c r="S65" s="697"/>
      <c r="T65" s="718"/>
    </row>
    <row r="66" spans="2:20" s="199" customFormat="1" ht="20.25" customHeight="1">
      <c r="B66" s="817"/>
      <c r="C66" s="716"/>
      <c r="D66" s="717"/>
      <c r="E66" s="717"/>
      <c r="F66" s="717"/>
      <c r="G66" s="717"/>
      <c r="H66" s="717"/>
      <c r="I66" s="717"/>
      <c r="J66" s="718"/>
      <c r="M66" s="716"/>
      <c r="N66" s="717"/>
      <c r="O66" s="1840" t="s">
        <v>1580</v>
      </c>
      <c r="P66" s="1840"/>
      <c r="Q66" s="1840"/>
      <c r="R66" s="697"/>
      <c r="S66" s="697"/>
      <c r="T66" s="718"/>
    </row>
    <row r="67" spans="2:20" s="199" customFormat="1" ht="18.75" thickBot="1">
      <c r="B67" s="817"/>
      <c r="C67" s="701"/>
      <c r="D67" s="702"/>
      <c r="E67" s="995"/>
      <c r="F67" s="995"/>
      <c r="G67" s="995"/>
      <c r="H67" s="995"/>
      <c r="I67" s="702"/>
      <c r="J67" s="703"/>
      <c r="M67" s="701"/>
      <c r="N67" s="702"/>
      <c r="O67" s="995"/>
      <c r="P67" s="995"/>
      <c r="Q67" s="995"/>
      <c r="R67" s="995"/>
      <c r="S67" s="702"/>
      <c r="T67" s="703"/>
    </row>
    <row r="68" spans="2:20" s="199" customFormat="1">
      <c r="B68" s="817"/>
    </row>
    <row r="69" spans="2:20" s="199" customFormat="1">
      <c r="B69" s="817"/>
    </row>
    <row r="70" spans="2:20" s="199" customFormat="1">
      <c r="B70" s="817"/>
    </row>
    <row r="71" spans="2:20" s="199" customFormat="1">
      <c r="B71" s="817"/>
    </row>
    <row r="72" spans="2:20" s="199" customFormat="1">
      <c r="B72" s="817"/>
    </row>
    <row r="73" spans="2:20" s="199" customFormat="1">
      <c r="B73" s="817"/>
    </row>
    <row r="74" spans="2:20" s="199" customFormat="1">
      <c r="B74" s="817"/>
    </row>
    <row r="75" spans="2:20" s="199" customFormat="1">
      <c r="B75" s="817"/>
    </row>
    <row r="76" spans="2:20" s="199" customFormat="1">
      <c r="B76" s="817"/>
    </row>
    <row r="77" spans="2:20" s="199" customFormat="1">
      <c r="B77" s="817"/>
    </row>
    <row r="78" spans="2:20" s="199" customFormat="1">
      <c r="B78" s="817"/>
    </row>
    <row r="79" spans="2:20" s="199" customFormat="1">
      <c r="B79" s="817"/>
    </row>
    <row r="80" spans="2:20" s="199" customFormat="1">
      <c r="B80" s="817"/>
    </row>
    <row r="81" spans="2:2" s="199" customFormat="1">
      <c r="B81" s="817"/>
    </row>
    <row r="82" spans="2:2" s="199" customFormat="1">
      <c r="B82" s="817"/>
    </row>
    <row r="83" spans="2:2" s="199" customFormat="1">
      <c r="B83" s="817"/>
    </row>
    <row r="84" spans="2:2" s="199" customFormat="1">
      <c r="B84" s="817"/>
    </row>
    <row r="85" spans="2:2" s="199" customFormat="1">
      <c r="B85" s="817"/>
    </row>
    <row r="86" spans="2:2" s="199" customFormat="1">
      <c r="B86" s="817"/>
    </row>
    <row r="87" spans="2:2" s="199" customFormat="1">
      <c r="B87" s="817"/>
    </row>
    <row r="88" spans="2:2" s="199" customFormat="1">
      <c r="B88" s="817"/>
    </row>
    <row r="89" spans="2:2" s="199" customFormat="1">
      <c r="B89" s="817"/>
    </row>
    <row r="90" spans="2:2" s="199" customFormat="1">
      <c r="B90" s="817"/>
    </row>
    <row r="91" spans="2:2" s="199" customFormat="1">
      <c r="B91" s="817"/>
    </row>
    <row r="92" spans="2:2" s="199" customFormat="1">
      <c r="B92" s="817"/>
    </row>
    <row r="93" spans="2:2" s="199" customFormat="1">
      <c r="B93" s="817"/>
    </row>
    <row r="94" spans="2:2" s="199" customFormat="1">
      <c r="B94" s="817"/>
    </row>
    <row r="95" spans="2:2" s="199" customFormat="1">
      <c r="B95" s="817"/>
    </row>
    <row r="96" spans="2:2" s="199" customFormat="1">
      <c r="B96" s="817"/>
    </row>
    <row r="97" spans="2:2" s="199" customFormat="1">
      <c r="B97" s="817"/>
    </row>
    <row r="98" spans="2:2" s="199" customFormat="1">
      <c r="B98" s="817"/>
    </row>
    <row r="99" spans="2:2" s="199" customFormat="1">
      <c r="B99" s="817"/>
    </row>
    <row r="100" spans="2:2" s="199" customFormat="1">
      <c r="B100" s="817"/>
    </row>
    <row r="101" spans="2:2" s="199" customFormat="1">
      <c r="B101" s="817"/>
    </row>
    <row r="102" spans="2:2" s="199" customFormat="1">
      <c r="B102" s="817"/>
    </row>
    <row r="103" spans="2:2" s="199" customFormat="1">
      <c r="B103" s="817"/>
    </row>
    <row r="104" spans="2:2" s="199" customFormat="1">
      <c r="B104" s="817"/>
    </row>
    <row r="105" spans="2:2" s="199" customFormat="1">
      <c r="B105" s="817"/>
    </row>
    <row r="106" spans="2:2" s="199" customFormat="1">
      <c r="B106" s="817"/>
    </row>
    <row r="107" spans="2:2" s="199" customFormat="1">
      <c r="B107" s="817"/>
    </row>
    <row r="108" spans="2:2" s="199" customFormat="1">
      <c r="B108" s="817"/>
    </row>
    <row r="109" spans="2:2" s="199" customFormat="1">
      <c r="B109" s="817"/>
    </row>
    <row r="110" spans="2:2" s="199" customFormat="1">
      <c r="B110" s="817"/>
    </row>
    <row r="111" spans="2:2" s="199" customFormat="1">
      <c r="B111" s="817"/>
    </row>
    <row r="112" spans="2:2" s="199" customFormat="1">
      <c r="B112" s="817"/>
    </row>
    <row r="113" spans="2:2" s="199" customFormat="1">
      <c r="B113" s="817"/>
    </row>
    <row r="114" spans="2:2" s="199" customFormat="1">
      <c r="B114" s="817"/>
    </row>
    <row r="115" spans="2:2" s="199" customFormat="1">
      <c r="B115" s="817"/>
    </row>
    <row r="116" spans="2:2" s="199" customFormat="1">
      <c r="B116" s="817"/>
    </row>
    <row r="117" spans="2:2" s="199" customFormat="1">
      <c r="B117" s="817"/>
    </row>
    <row r="118" spans="2:2" s="199" customFormat="1">
      <c r="B118" s="817"/>
    </row>
    <row r="119" spans="2:2" s="199" customFormat="1">
      <c r="B119" s="817"/>
    </row>
    <row r="120" spans="2:2" s="199" customFormat="1">
      <c r="B120" s="817"/>
    </row>
    <row r="121" spans="2:2" s="199" customFormat="1">
      <c r="B121" s="817"/>
    </row>
    <row r="122" spans="2:2" s="199" customFormat="1">
      <c r="B122" s="817"/>
    </row>
    <row r="123" spans="2:2" s="199" customFormat="1">
      <c r="B123" s="817"/>
    </row>
    <row r="124" spans="2:2" s="199" customFormat="1">
      <c r="B124" s="817"/>
    </row>
    <row r="125" spans="2:2" s="199" customFormat="1">
      <c r="B125" s="817"/>
    </row>
    <row r="126" spans="2:2" s="199" customFormat="1">
      <c r="B126" s="817"/>
    </row>
    <row r="127" spans="2:2" s="199" customFormat="1">
      <c r="B127" s="817"/>
    </row>
    <row r="128" spans="2:2" s="199" customFormat="1">
      <c r="B128" s="817"/>
    </row>
    <row r="129" spans="2:2" s="199" customFormat="1">
      <c r="B129" s="817"/>
    </row>
    <row r="130" spans="2:2" s="199" customFormat="1">
      <c r="B130" s="817"/>
    </row>
    <row r="131" spans="2:2" s="199" customFormat="1">
      <c r="B131" s="817"/>
    </row>
    <row r="132" spans="2:2" s="199" customFormat="1">
      <c r="B132" s="817"/>
    </row>
    <row r="133" spans="2:2" s="199" customFormat="1">
      <c r="B133" s="817"/>
    </row>
    <row r="134" spans="2:2" s="199" customFormat="1">
      <c r="B134" s="817"/>
    </row>
    <row r="135" spans="2:2" s="199" customFormat="1">
      <c r="B135" s="817"/>
    </row>
    <row r="136" spans="2:2" s="199" customFormat="1">
      <c r="B136" s="817"/>
    </row>
    <row r="137" spans="2:2" s="199" customFormat="1">
      <c r="B137" s="817"/>
    </row>
    <row r="138" spans="2:2" s="199" customFormat="1">
      <c r="B138" s="817"/>
    </row>
    <row r="139" spans="2:2" s="199" customFormat="1">
      <c r="B139" s="817"/>
    </row>
    <row r="140" spans="2:2" s="199" customFormat="1">
      <c r="B140" s="817"/>
    </row>
    <row r="141" spans="2:2" s="199" customFormat="1">
      <c r="B141" s="817"/>
    </row>
    <row r="142" spans="2:2" s="199" customFormat="1">
      <c r="B142" s="817"/>
    </row>
    <row r="143" spans="2:2" s="199" customFormat="1">
      <c r="B143" s="817"/>
    </row>
    <row r="144" spans="2:2" s="199" customFormat="1">
      <c r="B144" s="817"/>
    </row>
    <row r="145" spans="2:2" s="199" customFormat="1">
      <c r="B145" s="817"/>
    </row>
    <row r="146" spans="2:2" s="199" customFormat="1">
      <c r="B146" s="817"/>
    </row>
    <row r="147" spans="2:2" s="199" customFormat="1">
      <c r="B147" s="817"/>
    </row>
    <row r="148" spans="2:2" s="199" customFormat="1">
      <c r="B148" s="817"/>
    </row>
    <row r="149" spans="2:2" s="199" customFormat="1">
      <c r="B149" s="817"/>
    </row>
    <row r="150" spans="2:2" s="199" customFormat="1">
      <c r="B150" s="817"/>
    </row>
    <row r="151" spans="2:2" s="199" customFormat="1">
      <c r="B151" s="817"/>
    </row>
    <row r="152" spans="2:2" s="199" customFormat="1">
      <c r="B152" s="817"/>
    </row>
    <row r="153" spans="2:2" s="199" customFormat="1">
      <c r="B153" s="817"/>
    </row>
    <row r="154" spans="2:2" s="199" customFormat="1">
      <c r="B154" s="817"/>
    </row>
    <row r="155" spans="2:2" s="199" customFormat="1">
      <c r="B155" s="817"/>
    </row>
    <row r="156" spans="2:2" s="199" customFormat="1">
      <c r="B156" s="817"/>
    </row>
    <row r="157" spans="2:2" s="199" customFormat="1">
      <c r="B157" s="817"/>
    </row>
    <row r="158" spans="2:2" s="199" customFormat="1">
      <c r="B158" s="817"/>
    </row>
    <row r="159" spans="2:2" s="199" customFormat="1">
      <c r="B159" s="817"/>
    </row>
    <row r="160" spans="2:2" s="199" customFormat="1">
      <c r="B160" s="817"/>
    </row>
    <row r="161" spans="2:2" s="199" customFormat="1">
      <c r="B161" s="817"/>
    </row>
    <row r="162" spans="2:2" s="199" customFormat="1">
      <c r="B162" s="817"/>
    </row>
    <row r="163" spans="2:2" s="199" customFormat="1">
      <c r="B163" s="817"/>
    </row>
    <row r="164" spans="2:2" s="199" customFormat="1">
      <c r="B164" s="817"/>
    </row>
    <row r="165" spans="2:2" s="199" customFormat="1">
      <c r="B165" s="817"/>
    </row>
    <row r="166" spans="2:2" s="199" customFormat="1">
      <c r="B166" s="817"/>
    </row>
    <row r="167" spans="2:2" s="199" customFormat="1">
      <c r="B167" s="817"/>
    </row>
    <row r="168" spans="2:2" s="199" customFormat="1">
      <c r="B168" s="817"/>
    </row>
    <row r="169" spans="2:2" s="199" customFormat="1">
      <c r="B169" s="817"/>
    </row>
    <row r="170" spans="2:2" s="199" customFormat="1">
      <c r="B170" s="817"/>
    </row>
    <row r="171" spans="2:2" s="199" customFormat="1">
      <c r="B171" s="817"/>
    </row>
    <row r="172" spans="2:2" s="199" customFormat="1">
      <c r="B172" s="817"/>
    </row>
    <row r="173" spans="2:2" s="199" customFormat="1">
      <c r="B173" s="817"/>
    </row>
    <row r="174" spans="2:2" s="199" customFormat="1">
      <c r="B174" s="817"/>
    </row>
    <row r="175" spans="2:2" s="199" customFormat="1">
      <c r="B175" s="817"/>
    </row>
    <row r="176" spans="2:2" s="199" customFormat="1">
      <c r="B176" s="817"/>
    </row>
    <row r="177" spans="2:2" s="199" customFormat="1">
      <c r="B177" s="817"/>
    </row>
    <row r="178" spans="2:2" s="199" customFormat="1">
      <c r="B178" s="817"/>
    </row>
    <row r="179" spans="2:2" s="199" customFormat="1">
      <c r="B179" s="817"/>
    </row>
    <row r="180" spans="2:2" s="199" customFormat="1">
      <c r="B180" s="817"/>
    </row>
    <row r="181" spans="2:2" s="199" customFormat="1">
      <c r="B181" s="817"/>
    </row>
    <row r="182" spans="2:2" s="199" customFormat="1">
      <c r="B182" s="817"/>
    </row>
    <row r="183" spans="2:2" s="199" customFormat="1">
      <c r="B183" s="817"/>
    </row>
    <row r="184" spans="2:2" s="199" customFormat="1">
      <c r="B184" s="817"/>
    </row>
    <row r="185" spans="2:2" s="199" customFormat="1">
      <c r="B185" s="817"/>
    </row>
    <row r="186" spans="2:2" s="199" customFormat="1">
      <c r="B186" s="817"/>
    </row>
    <row r="187" spans="2:2" s="199" customFormat="1">
      <c r="B187" s="817"/>
    </row>
    <row r="188" spans="2:2" s="199" customFormat="1">
      <c r="B188" s="817"/>
    </row>
    <row r="189" spans="2:2" s="199" customFormat="1">
      <c r="B189" s="817"/>
    </row>
    <row r="190" spans="2:2" s="199" customFormat="1">
      <c r="B190" s="817"/>
    </row>
    <row r="191" spans="2:2" s="199" customFormat="1">
      <c r="B191" s="817"/>
    </row>
    <row r="192" spans="2:2" s="199" customFormat="1">
      <c r="B192" s="817"/>
    </row>
    <row r="193" spans="2:2" s="199" customFormat="1">
      <c r="B193" s="817"/>
    </row>
    <row r="194" spans="2:2" s="199" customFormat="1">
      <c r="B194" s="817"/>
    </row>
    <row r="195" spans="2:2" s="199" customFormat="1">
      <c r="B195" s="817"/>
    </row>
    <row r="196" spans="2:2" s="199" customFormat="1">
      <c r="B196" s="817"/>
    </row>
    <row r="197" spans="2:2" s="199" customFormat="1">
      <c r="B197" s="817"/>
    </row>
    <row r="198" spans="2:2" s="199" customFormat="1">
      <c r="B198" s="817"/>
    </row>
    <row r="199" spans="2:2" s="199" customFormat="1">
      <c r="B199" s="817"/>
    </row>
    <row r="200" spans="2:2" s="199" customFormat="1">
      <c r="B200" s="817"/>
    </row>
    <row r="201" spans="2:2" s="199" customFormat="1">
      <c r="B201" s="817"/>
    </row>
    <row r="202" spans="2:2" s="199" customFormat="1">
      <c r="B202" s="817"/>
    </row>
    <row r="203" spans="2:2" s="199" customFormat="1">
      <c r="B203" s="817"/>
    </row>
    <row r="204" spans="2:2" s="199" customFormat="1">
      <c r="B204" s="817"/>
    </row>
    <row r="205" spans="2:2" s="199" customFormat="1">
      <c r="B205" s="817"/>
    </row>
    <row r="206" spans="2:2" s="199" customFormat="1">
      <c r="B206" s="817"/>
    </row>
    <row r="207" spans="2:2" s="199" customFormat="1">
      <c r="B207" s="817"/>
    </row>
    <row r="208" spans="2:2" s="199" customFormat="1">
      <c r="B208" s="817"/>
    </row>
    <row r="209" spans="2:2" s="199" customFormat="1">
      <c r="B209" s="817"/>
    </row>
    <row r="210" spans="2:2" s="199" customFormat="1">
      <c r="B210" s="817"/>
    </row>
    <row r="211" spans="2:2" s="199" customFormat="1">
      <c r="B211" s="817"/>
    </row>
    <row r="212" spans="2:2" s="199" customFormat="1">
      <c r="B212" s="817"/>
    </row>
    <row r="213" spans="2:2" s="199" customFormat="1">
      <c r="B213" s="817"/>
    </row>
    <row r="214" spans="2:2" s="199" customFormat="1">
      <c r="B214" s="817"/>
    </row>
    <row r="215" spans="2:2" s="199" customFormat="1">
      <c r="B215" s="817"/>
    </row>
    <row r="216" spans="2:2" s="199" customFormat="1">
      <c r="B216" s="817"/>
    </row>
    <row r="217" spans="2:2" s="199" customFormat="1">
      <c r="B217" s="817"/>
    </row>
    <row r="218" spans="2:2" s="199" customFormat="1">
      <c r="B218" s="817"/>
    </row>
    <row r="219" spans="2:2" s="199" customFormat="1">
      <c r="B219" s="817"/>
    </row>
    <row r="220" spans="2:2" s="199" customFormat="1">
      <c r="B220" s="817"/>
    </row>
    <row r="221" spans="2:2" s="199" customFormat="1">
      <c r="B221" s="817"/>
    </row>
    <row r="222" spans="2:2" s="199" customFormat="1">
      <c r="B222" s="817"/>
    </row>
    <row r="223" spans="2:2" s="199" customFormat="1">
      <c r="B223" s="817"/>
    </row>
    <row r="224" spans="2:2" s="199" customFormat="1">
      <c r="B224" s="817"/>
    </row>
    <row r="225" spans="2:2" s="199" customFormat="1">
      <c r="B225" s="817"/>
    </row>
    <row r="226" spans="2:2" s="199" customFormat="1">
      <c r="B226" s="817"/>
    </row>
    <row r="227" spans="2:2" s="199" customFormat="1">
      <c r="B227" s="817"/>
    </row>
    <row r="228" spans="2:2" s="199" customFormat="1">
      <c r="B228" s="817"/>
    </row>
    <row r="229" spans="2:2" s="199" customFormat="1">
      <c r="B229" s="817"/>
    </row>
    <row r="230" spans="2:2" s="199" customFormat="1">
      <c r="B230" s="817"/>
    </row>
    <row r="231" spans="2:2" s="199" customFormat="1">
      <c r="B231" s="817"/>
    </row>
    <row r="232" spans="2:2" s="199" customFormat="1">
      <c r="B232" s="817"/>
    </row>
    <row r="233" spans="2:2" s="199" customFormat="1">
      <c r="B233" s="817"/>
    </row>
    <row r="234" spans="2:2" s="199" customFormat="1">
      <c r="B234" s="817"/>
    </row>
    <row r="235" spans="2:2" s="199" customFormat="1">
      <c r="B235" s="817"/>
    </row>
    <row r="236" spans="2:2" s="199" customFormat="1">
      <c r="B236" s="817"/>
    </row>
    <row r="237" spans="2:2" s="199" customFormat="1">
      <c r="B237" s="817"/>
    </row>
    <row r="238" spans="2:2" s="199" customFormat="1">
      <c r="B238" s="817"/>
    </row>
    <row r="239" spans="2:2" s="199" customFormat="1">
      <c r="B239" s="817"/>
    </row>
    <row r="240" spans="2:2" s="199" customFormat="1">
      <c r="B240" s="817"/>
    </row>
    <row r="241" spans="2:2" s="199" customFormat="1">
      <c r="B241" s="817"/>
    </row>
    <row r="242" spans="2:2" s="199" customFormat="1">
      <c r="B242" s="817"/>
    </row>
    <row r="243" spans="2:2" s="199" customFormat="1">
      <c r="B243" s="817"/>
    </row>
    <row r="244" spans="2:2" s="199" customFormat="1">
      <c r="B244" s="817"/>
    </row>
    <row r="245" spans="2:2" s="199" customFormat="1">
      <c r="B245" s="817"/>
    </row>
    <row r="246" spans="2:2" s="199" customFormat="1">
      <c r="B246" s="817"/>
    </row>
    <row r="247" spans="2:2" s="199" customFormat="1">
      <c r="B247" s="817"/>
    </row>
    <row r="248" spans="2:2" s="199" customFormat="1">
      <c r="B248" s="817"/>
    </row>
    <row r="249" spans="2:2" s="199" customFormat="1">
      <c r="B249" s="817"/>
    </row>
    <row r="250" spans="2:2" s="199" customFormat="1">
      <c r="B250" s="817"/>
    </row>
    <row r="251" spans="2:2" s="199" customFormat="1">
      <c r="B251" s="817"/>
    </row>
    <row r="252" spans="2:2" s="199" customFormat="1">
      <c r="B252" s="817"/>
    </row>
    <row r="253" spans="2:2" s="199" customFormat="1">
      <c r="B253" s="817"/>
    </row>
    <row r="254" spans="2:2" s="199" customFormat="1">
      <c r="B254" s="817"/>
    </row>
    <row r="255" spans="2:2" s="199" customFormat="1">
      <c r="B255" s="817"/>
    </row>
    <row r="256" spans="2:2" s="199" customFormat="1">
      <c r="B256" s="817"/>
    </row>
    <row r="257" spans="2:2" s="199" customFormat="1">
      <c r="B257" s="817"/>
    </row>
    <row r="258" spans="2:2" s="199" customFormat="1">
      <c r="B258" s="817"/>
    </row>
    <row r="259" spans="2:2" s="199" customFormat="1">
      <c r="B259" s="817"/>
    </row>
    <row r="260" spans="2:2" s="199" customFormat="1">
      <c r="B260" s="817"/>
    </row>
    <row r="261" spans="2:2" s="199" customFormat="1">
      <c r="B261" s="817"/>
    </row>
    <row r="262" spans="2:2" s="199" customFormat="1">
      <c r="B262" s="817"/>
    </row>
    <row r="263" spans="2:2" s="199" customFormat="1">
      <c r="B263" s="817"/>
    </row>
    <row r="264" spans="2:2" s="199" customFormat="1">
      <c r="B264" s="817"/>
    </row>
    <row r="265" spans="2:2" s="199" customFormat="1">
      <c r="B265" s="817"/>
    </row>
    <row r="266" spans="2:2" s="199" customFormat="1">
      <c r="B266" s="817"/>
    </row>
    <row r="267" spans="2:2" s="199" customFormat="1">
      <c r="B267" s="817"/>
    </row>
    <row r="268" spans="2:2" s="199" customFormat="1">
      <c r="B268" s="817"/>
    </row>
    <row r="269" spans="2:2" s="199" customFormat="1">
      <c r="B269" s="817"/>
    </row>
    <row r="270" spans="2:2" s="199" customFormat="1">
      <c r="B270" s="817"/>
    </row>
    <row r="271" spans="2:2" s="199" customFormat="1">
      <c r="B271" s="817"/>
    </row>
    <row r="272" spans="2:2" s="199" customFormat="1">
      <c r="B272" s="817"/>
    </row>
    <row r="273" spans="2:2" s="199" customFormat="1">
      <c r="B273" s="817"/>
    </row>
    <row r="274" spans="2:2" s="199" customFormat="1">
      <c r="B274" s="817"/>
    </row>
    <row r="275" spans="2:2" s="199" customFormat="1">
      <c r="B275" s="817"/>
    </row>
    <row r="276" spans="2:2" s="199" customFormat="1">
      <c r="B276" s="817"/>
    </row>
    <row r="277" spans="2:2" s="199" customFormat="1">
      <c r="B277" s="817"/>
    </row>
    <row r="278" spans="2:2" s="199" customFormat="1">
      <c r="B278" s="817"/>
    </row>
    <row r="279" spans="2:2" s="199" customFormat="1">
      <c r="B279" s="817"/>
    </row>
    <row r="280" spans="2:2" s="199" customFormat="1">
      <c r="B280" s="817"/>
    </row>
    <row r="281" spans="2:2" s="199" customFormat="1">
      <c r="B281" s="817"/>
    </row>
    <row r="282" spans="2:2" s="199" customFormat="1">
      <c r="B282" s="817"/>
    </row>
    <row r="283" spans="2:2" s="199" customFormat="1">
      <c r="B283" s="817"/>
    </row>
    <row r="284" spans="2:2" s="199" customFormat="1">
      <c r="B284" s="817"/>
    </row>
    <row r="285" spans="2:2" s="199" customFormat="1">
      <c r="B285" s="817"/>
    </row>
    <row r="286" spans="2:2" s="199" customFormat="1">
      <c r="B286" s="817"/>
    </row>
    <row r="287" spans="2:2" s="199" customFormat="1">
      <c r="B287" s="817"/>
    </row>
    <row r="288" spans="2:2" s="199" customFormat="1">
      <c r="B288" s="817"/>
    </row>
    <row r="289" spans="2:2" s="199" customFormat="1">
      <c r="B289" s="817"/>
    </row>
    <row r="290" spans="2:2" s="199" customFormat="1">
      <c r="B290" s="817"/>
    </row>
    <row r="291" spans="2:2" s="199" customFormat="1">
      <c r="B291" s="817"/>
    </row>
    <row r="292" spans="2:2" s="199" customFormat="1">
      <c r="B292" s="817"/>
    </row>
    <row r="293" spans="2:2" s="199" customFormat="1">
      <c r="B293" s="817"/>
    </row>
    <row r="294" spans="2:2" s="199" customFormat="1">
      <c r="B294" s="817"/>
    </row>
    <row r="295" spans="2:2" s="199" customFormat="1">
      <c r="B295" s="817"/>
    </row>
    <row r="296" spans="2:2" s="199" customFormat="1">
      <c r="B296" s="817"/>
    </row>
    <row r="297" spans="2:2" s="199" customFormat="1">
      <c r="B297" s="817"/>
    </row>
    <row r="298" spans="2:2" s="199" customFormat="1">
      <c r="B298" s="817"/>
    </row>
    <row r="299" spans="2:2" s="199" customFormat="1">
      <c r="B299" s="817"/>
    </row>
    <row r="300" spans="2:2" s="199" customFormat="1">
      <c r="B300" s="817"/>
    </row>
    <row r="301" spans="2:2" s="199" customFormat="1">
      <c r="B301" s="817"/>
    </row>
    <row r="302" spans="2:2" s="199" customFormat="1">
      <c r="B302" s="817"/>
    </row>
    <row r="303" spans="2:2" s="199" customFormat="1">
      <c r="B303" s="817"/>
    </row>
    <row r="304" spans="2:2" s="199" customFormat="1">
      <c r="B304" s="817"/>
    </row>
    <row r="305" spans="2:2" s="199" customFormat="1">
      <c r="B305" s="817"/>
    </row>
    <row r="306" spans="2:2" s="199" customFormat="1">
      <c r="B306" s="817"/>
    </row>
    <row r="307" spans="2:2" s="199" customFormat="1">
      <c r="B307" s="817"/>
    </row>
    <row r="308" spans="2:2" s="199" customFormat="1">
      <c r="B308" s="817"/>
    </row>
    <row r="309" spans="2:2" s="199" customFormat="1">
      <c r="B309" s="817"/>
    </row>
    <row r="310" spans="2:2" s="199" customFormat="1">
      <c r="B310" s="817"/>
    </row>
    <row r="311" spans="2:2" s="199" customFormat="1">
      <c r="B311" s="817"/>
    </row>
    <row r="312" spans="2:2" s="199" customFormat="1">
      <c r="B312" s="817"/>
    </row>
    <row r="313" spans="2:2" s="199" customFormat="1">
      <c r="B313" s="817"/>
    </row>
    <row r="314" spans="2:2" s="199" customFormat="1">
      <c r="B314" s="817"/>
    </row>
    <row r="315" spans="2:2" s="199" customFormat="1">
      <c r="B315" s="817"/>
    </row>
    <row r="316" spans="2:2" s="199" customFormat="1">
      <c r="B316" s="817"/>
    </row>
    <row r="317" spans="2:2" s="199" customFormat="1">
      <c r="B317" s="817"/>
    </row>
    <row r="318" spans="2:2" s="199" customFormat="1">
      <c r="B318" s="817"/>
    </row>
    <row r="319" spans="2:2" s="199" customFormat="1">
      <c r="B319" s="817"/>
    </row>
    <row r="320" spans="2:2" s="199" customFormat="1">
      <c r="B320" s="817"/>
    </row>
    <row r="321" spans="2:2" s="199" customFormat="1">
      <c r="B321" s="817"/>
    </row>
    <row r="322" spans="2:2" s="199" customFormat="1">
      <c r="B322" s="817"/>
    </row>
    <row r="323" spans="2:2" s="199" customFormat="1">
      <c r="B323" s="817"/>
    </row>
    <row r="324" spans="2:2" s="199" customFormat="1">
      <c r="B324" s="817"/>
    </row>
    <row r="325" spans="2:2" s="199" customFormat="1">
      <c r="B325" s="817"/>
    </row>
    <row r="326" spans="2:2" s="199" customFormat="1">
      <c r="B326" s="817"/>
    </row>
    <row r="327" spans="2:2" s="199" customFormat="1">
      <c r="B327" s="817"/>
    </row>
    <row r="328" spans="2:2" s="199" customFormat="1">
      <c r="B328" s="817"/>
    </row>
    <row r="329" spans="2:2" s="199" customFormat="1">
      <c r="B329" s="817"/>
    </row>
    <row r="330" spans="2:2" s="199" customFormat="1">
      <c r="B330" s="817"/>
    </row>
    <row r="331" spans="2:2" s="199" customFormat="1">
      <c r="B331" s="817"/>
    </row>
    <row r="332" spans="2:2" s="199" customFormat="1">
      <c r="B332" s="817"/>
    </row>
    <row r="333" spans="2:2" s="199" customFormat="1">
      <c r="B333" s="817"/>
    </row>
    <row r="334" spans="2:2" s="199" customFormat="1">
      <c r="B334" s="817"/>
    </row>
    <row r="335" spans="2:2" s="199" customFormat="1">
      <c r="B335" s="817"/>
    </row>
    <row r="336" spans="2:2" s="199" customFormat="1">
      <c r="B336" s="817"/>
    </row>
    <row r="337" spans="2:2" s="199" customFormat="1">
      <c r="B337" s="817"/>
    </row>
    <row r="338" spans="2:2" s="199" customFormat="1">
      <c r="B338" s="817"/>
    </row>
    <row r="339" spans="2:2" s="199" customFormat="1">
      <c r="B339" s="817"/>
    </row>
    <row r="340" spans="2:2" s="199" customFormat="1">
      <c r="B340" s="817"/>
    </row>
    <row r="341" spans="2:2" s="199" customFormat="1">
      <c r="B341" s="817"/>
    </row>
    <row r="342" spans="2:2" s="199" customFormat="1">
      <c r="B342" s="817"/>
    </row>
    <row r="343" spans="2:2" s="199" customFormat="1">
      <c r="B343" s="817"/>
    </row>
    <row r="344" spans="2:2" s="199" customFormat="1">
      <c r="B344" s="817"/>
    </row>
    <row r="345" spans="2:2" s="199" customFormat="1">
      <c r="B345" s="817"/>
    </row>
    <row r="346" spans="2:2" s="199" customFormat="1">
      <c r="B346" s="817"/>
    </row>
    <row r="347" spans="2:2" s="199" customFormat="1">
      <c r="B347" s="817"/>
    </row>
    <row r="348" spans="2:2" s="199" customFormat="1">
      <c r="B348" s="817"/>
    </row>
    <row r="349" spans="2:2" s="199" customFormat="1">
      <c r="B349" s="817"/>
    </row>
    <row r="350" spans="2:2" s="199" customFormat="1">
      <c r="B350" s="817"/>
    </row>
    <row r="351" spans="2:2" s="199" customFormat="1">
      <c r="B351" s="817"/>
    </row>
    <row r="352" spans="2:2" s="199" customFormat="1">
      <c r="B352" s="817"/>
    </row>
    <row r="353" spans="2:2" s="199" customFormat="1">
      <c r="B353" s="817"/>
    </row>
    <row r="354" spans="2:2" s="199" customFormat="1">
      <c r="B354" s="817"/>
    </row>
    <row r="355" spans="2:2" s="199" customFormat="1">
      <c r="B355" s="817"/>
    </row>
    <row r="356" spans="2:2" s="199" customFormat="1">
      <c r="B356" s="817"/>
    </row>
    <row r="357" spans="2:2" s="199" customFormat="1">
      <c r="B357" s="817"/>
    </row>
    <row r="358" spans="2:2" s="199" customFormat="1">
      <c r="B358" s="817"/>
    </row>
    <row r="359" spans="2:2" s="199" customFormat="1">
      <c r="B359" s="817"/>
    </row>
    <row r="360" spans="2:2" s="199" customFormat="1">
      <c r="B360" s="817"/>
    </row>
    <row r="361" spans="2:2" s="199" customFormat="1">
      <c r="B361" s="817"/>
    </row>
    <row r="362" spans="2:2" s="199" customFormat="1">
      <c r="B362" s="817"/>
    </row>
    <row r="363" spans="2:2" s="199" customFormat="1">
      <c r="B363" s="817"/>
    </row>
    <row r="364" spans="2:2" s="199" customFormat="1">
      <c r="B364" s="817"/>
    </row>
    <row r="365" spans="2:2" s="199" customFormat="1">
      <c r="B365" s="817"/>
    </row>
    <row r="366" spans="2:2" s="199" customFormat="1">
      <c r="B366" s="817"/>
    </row>
    <row r="367" spans="2:2" s="199" customFormat="1">
      <c r="B367" s="817"/>
    </row>
    <row r="368" spans="2:2" s="199" customFormat="1">
      <c r="B368" s="817"/>
    </row>
    <row r="369" spans="2:2" s="199" customFormat="1">
      <c r="B369" s="817"/>
    </row>
    <row r="370" spans="2:2" s="199" customFormat="1">
      <c r="B370" s="817"/>
    </row>
    <row r="371" spans="2:2" s="199" customFormat="1">
      <c r="B371" s="817"/>
    </row>
    <row r="372" spans="2:2" s="199" customFormat="1">
      <c r="B372" s="817"/>
    </row>
    <row r="373" spans="2:2" s="199" customFormat="1">
      <c r="B373" s="817"/>
    </row>
    <row r="374" spans="2:2" s="199" customFormat="1">
      <c r="B374" s="817"/>
    </row>
    <row r="375" spans="2:2" s="199" customFormat="1">
      <c r="B375" s="817"/>
    </row>
    <row r="376" spans="2:2" s="199" customFormat="1">
      <c r="B376" s="817"/>
    </row>
    <row r="377" spans="2:2" s="199" customFormat="1">
      <c r="B377" s="817"/>
    </row>
    <row r="378" spans="2:2" s="199" customFormat="1">
      <c r="B378" s="817"/>
    </row>
    <row r="379" spans="2:2" s="199" customFormat="1">
      <c r="B379" s="817"/>
    </row>
    <row r="380" spans="2:2" s="199" customFormat="1">
      <c r="B380" s="817"/>
    </row>
    <row r="381" spans="2:2" s="199" customFormat="1">
      <c r="B381" s="817"/>
    </row>
    <row r="382" spans="2:2" s="199" customFormat="1">
      <c r="B382" s="817"/>
    </row>
    <row r="383" spans="2:2" s="199" customFormat="1">
      <c r="B383" s="817"/>
    </row>
    <row r="384" spans="2:2" s="199" customFormat="1">
      <c r="B384" s="817"/>
    </row>
    <row r="385" spans="2:2" s="199" customFormat="1">
      <c r="B385" s="817"/>
    </row>
    <row r="386" spans="2:2" s="199" customFormat="1">
      <c r="B386" s="817"/>
    </row>
    <row r="387" spans="2:2" s="199" customFormat="1">
      <c r="B387" s="817"/>
    </row>
    <row r="388" spans="2:2" s="199" customFormat="1">
      <c r="B388" s="817"/>
    </row>
    <row r="389" spans="2:2" s="199" customFormat="1">
      <c r="B389" s="817"/>
    </row>
    <row r="390" spans="2:2" s="199" customFormat="1">
      <c r="B390" s="817"/>
    </row>
    <row r="391" spans="2:2" s="199" customFormat="1">
      <c r="B391" s="817"/>
    </row>
    <row r="392" spans="2:2" s="199" customFormat="1">
      <c r="B392" s="817"/>
    </row>
    <row r="393" spans="2:2" s="199" customFormat="1">
      <c r="B393" s="817"/>
    </row>
    <row r="394" spans="2:2" s="199" customFormat="1">
      <c r="B394" s="817"/>
    </row>
    <row r="395" spans="2:2" s="199" customFormat="1">
      <c r="B395" s="817"/>
    </row>
    <row r="396" spans="2:2" s="199" customFormat="1">
      <c r="B396" s="817"/>
    </row>
    <row r="397" spans="2:2" s="199" customFormat="1">
      <c r="B397" s="817"/>
    </row>
    <row r="398" spans="2:2" s="199" customFormat="1">
      <c r="B398" s="817"/>
    </row>
    <row r="399" spans="2:2" s="199" customFormat="1">
      <c r="B399" s="817"/>
    </row>
    <row r="400" spans="2:2" s="199" customFormat="1">
      <c r="B400" s="817"/>
    </row>
    <row r="401" spans="2:2" s="199" customFormat="1">
      <c r="B401" s="817"/>
    </row>
    <row r="402" spans="2:2" s="199" customFormat="1">
      <c r="B402" s="817"/>
    </row>
    <row r="403" spans="2:2" s="199" customFormat="1">
      <c r="B403" s="817"/>
    </row>
    <row r="404" spans="2:2" s="199" customFormat="1">
      <c r="B404" s="817"/>
    </row>
    <row r="405" spans="2:2" s="199" customFormat="1">
      <c r="B405" s="817"/>
    </row>
    <row r="406" spans="2:2" s="199" customFormat="1">
      <c r="B406" s="817"/>
    </row>
    <row r="407" spans="2:2" s="199" customFormat="1">
      <c r="B407" s="817"/>
    </row>
    <row r="408" spans="2:2" s="199" customFormat="1">
      <c r="B408" s="817"/>
    </row>
    <row r="409" spans="2:2" s="199" customFormat="1">
      <c r="B409" s="817"/>
    </row>
    <row r="410" spans="2:2" s="199" customFormat="1">
      <c r="B410" s="817"/>
    </row>
    <row r="411" spans="2:2" s="199" customFormat="1">
      <c r="B411" s="817"/>
    </row>
    <row r="412" spans="2:2" s="199" customFormat="1">
      <c r="B412" s="817"/>
    </row>
    <row r="413" spans="2:2" s="199" customFormat="1">
      <c r="B413" s="817"/>
    </row>
    <row r="414" spans="2:2" s="199" customFormat="1">
      <c r="B414" s="817"/>
    </row>
    <row r="415" spans="2:2" s="199" customFormat="1">
      <c r="B415" s="817"/>
    </row>
    <row r="416" spans="2:2" s="199" customFormat="1">
      <c r="B416" s="817"/>
    </row>
    <row r="417" spans="2:2" s="199" customFormat="1">
      <c r="B417" s="817"/>
    </row>
    <row r="418" spans="2:2" s="199" customFormat="1">
      <c r="B418" s="817"/>
    </row>
    <row r="419" spans="2:2" s="199" customFormat="1">
      <c r="B419" s="817"/>
    </row>
    <row r="420" spans="2:2" s="199" customFormat="1">
      <c r="B420" s="817"/>
    </row>
    <row r="421" spans="2:2" s="199" customFormat="1">
      <c r="B421" s="817"/>
    </row>
    <row r="422" spans="2:2" s="199" customFormat="1">
      <c r="B422" s="817"/>
    </row>
    <row r="423" spans="2:2" s="199" customFormat="1">
      <c r="B423" s="817"/>
    </row>
    <row r="424" spans="2:2" s="199" customFormat="1">
      <c r="B424" s="817"/>
    </row>
    <row r="425" spans="2:2" s="199" customFormat="1">
      <c r="B425" s="817"/>
    </row>
    <row r="426" spans="2:2" s="199" customFormat="1">
      <c r="B426" s="817"/>
    </row>
    <row r="427" spans="2:2" s="199" customFormat="1">
      <c r="B427" s="817"/>
    </row>
    <row r="428" spans="2:2" s="199" customFormat="1">
      <c r="B428" s="817"/>
    </row>
    <row r="429" spans="2:2" s="199" customFormat="1">
      <c r="B429" s="817"/>
    </row>
    <row r="430" spans="2:2" s="199" customFormat="1">
      <c r="B430" s="817"/>
    </row>
    <row r="431" spans="2:2" s="199" customFormat="1">
      <c r="B431" s="817"/>
    </row>
    <row r="432" spans="2:2" s="199" customFormat="1">
      <c r="B432" s="817"/>
    </row>
    <row r="433" spans="2:2" s="199" customFormat="1">
      <c r="B433" s="817"/>
    </row>
    <row r="434" spans="2:2" s="199" customFormat="1">
      <c r="B434" s="817"/>
    </row>
    <row r="435" spans="2:2" s="199" customFormat="1">
      <c r="B435" s="817"/>
    </row>
    <row r="436" spans="2:2" s="199" customFormat="1">
      <c r="B436" s="817"/>
    </row>
    <row r="437" spans="2:2" s="199" customFormat="1">
      <c r="B437" s="817"/>
    </row>
    <row r="438" spans="2:2" s="199" customFormat="1">
      <c r="B438" s="817"/>
    </row>
    <row r="439" spans="2:2" s="199" customFormat="1">
      <c r="B439" s="817"/>
    </row>
    <row r="440" spans="2:2" s="199" customFormat="1">
      <c r="B440" s="817"/>
    </row>
    <row r="441" spans="2:2" s="199" customFormat="1">
      <c r="B441" s="817"/>
    </row>
    <row r="442" spans="2:2" s="199" customFormat="1">
      <c r="B442" s="817"/>
    </row>
    <row r="443" spans="2:2" s="199" customFormat="1">
      <c r="B443" s="817"/>
    </row>
    <row r="444" spans="2:2" s="199" customFormat="1">
      <c r="B444" s="817"/>
    </row>
    <row r="445" spans="2:2" s="199" customFormat="1">
      <c r="B445" s="817"/>
    </row>
    <row r="446" spans="2:2" s="199" customFormat="1">
      <c r="B446" s="817"/>
    </row>
    <row r="447" spans="2:2" s="199" customFormat="1">
      <c r="B447" s="817"/>
    </row>
    <row r="448" spans="2:2" s="199" customFormat="1">
      <c r="B448" s="817"/>
    </row>
    <row r="449" spans="2:2" s="199" customFormat="1">
      <c r="B449" s="817"/>
    </row>
    <row r="450" spans="2:2" s="199" customFormat="1">
      <c r="B450" s="817"/>
    </row>
    <row r="451" spans="2:2" s="199" customFormat="1">
      <c r="B451" s="817"/>
    </row>
    <row r="452" spans="2:2" s="199" customFormat="1">
      <c r="B452" s="817"/>
    </row>
    <row r="453" spans="2:2" s="199" customFormat="1">
      <c r="B453" s="817"/>
    </row>
    <row r="454" spans="2:2" s="199" customFormat="1">
      <c r="B454" s="817"/>
    </row>
    <row r="455" spans="2:2" s="199" customFormat="1">
      <c r="B455" s="817"/>
    </row>
    <row r="456" spans="2:2" s="199" customFormat="1">
      <c r="B456" s="817"/>
    </row>
    <row r="457" spans="2:2" s="199" customFormat="1">
      <c r="B457" s="817"/>
    </row>
    <row r="458" spans="2:2" s="199" customFormat="1">
      <c r="B458" s="817"/>
    </row>
    <row r="459" spans="2:2" s="199" customFormat="1">
      <c r="B459" s="817"/>
    </row>
    <row r="460" spans="2:2" s="199" customFormat="1">
      <c r="B460" s="817"/>
    </row>
    <row r="461" spans="2:2" s="199" customFormat="1">
      <c r="B461" s="817"/>
    </row>
    <row r="462" spans="2:2" s="199" customFormat="1">
      <c r="B462" s="817"/>
    </row>
    <row r="463" spans="2:2" s="199" customFormat="1">
      <c r="B463" s="817"/>
    </row>
    <row r="464" spans="2:2" s="199" customFormat="1">
      <c r="B464" s="817"/>
    </row>
    <row r="465" spans="2:2" s="199" customFormat="1">
      <c r="B465" s="817"/>
    </row>
    <row r="466" spans="2:2" s="199" customFormat="1">
      <c r="B466" s="817"/>
    </row>
    <row r="467" spans="2:2" s="199" customFormat="1">
      <c r="B467" s="817"/>
    </row>
    <row r="468" spans="2:2" s="199" customFormat="1">
      <c r="B468" s="817"/>
    </row>
    <row r="469" spans="2:2" s="199" customFormat="1">
      <c r="B469" s="817"/>
    </row>
    <row r="470" spans="2:2" s="199" customFormat="1">
      <c r="B470" s="817"/>
    </row>
    <row r="471" spans="2:2" s="199" customFormat="1">
      <c r="B471" s="817"/>
    </row>
    <row r="472" spans="2:2" s="199" customFormat="1">
      <c r="B472" s="817"/>
    </row>
    <row r="473" spans="2:2" s="199" customFormat="1">
      <c r="B473" s="817"/>
    </row>
    <row r="474" spans="2:2" s="199" customFormat="1">
      <c r="B474" s="817"/>
    </row>
    <row r="475" spans="2:2" s="199" customFormat="1">
      <c r="B475" s="817"/>
    </row>
    <row r="476" spans="2:2" s="199" customFormat="1">
      <c r="B476" s="817"/>
    </row>
    <row r="477" spans="2:2" s="199" customFormat="1">
      <c r="B477" s="817"/>
    </row>
    <row r="478" spans="2:2" s="199" customFormat="1">
      <c r="B478" s="817"/>
    </row>
    <row r="479" spans="2:2" s="199" customFormat="1">
      <c r="B479" s="817"/>
    </row>
    <row r="480" spans="2:2" s="199" customFormat="1">
      <c r="B480" s="817"/>
    </row>
    <row r="481" spans="2:2" s="199" customFormat="1">
      <c r="B481" s="817"/>
    </row>
    <row r="482" spans="2:2" s="199" customFormat="1">
      <c r="B482" s="817"/>
    </row>
    <row r="483" spans="2:2" s="199" customFormat="1">
      <c r="B483" s="817"/>
    </row>
    <row r="484" spans="2:2" s="199" customFormat="1">
      <c r="B484" s="817"/>
    </row>
    <row r="485" spans="2:2" s="199" customFormat="1">
      <c r="B485" s="817"/>
    </row>
    <row r="486" spans="2:2" s="199" customFormat="1">
      <c r="B486" s="817"/>
    </row>
    <row r="487" spans="2:2" s="199" customFormat="1">
      <c r="B487" s="817"/>
    </row>
    <row r="488" spans="2:2" s="199" customFormat="1">
      <c r="B488" s="817"/>
    </row>
    <row r="489" spans="2:2" s="199" customFormat="1">
      <c r="B489" s="817"/>
    </row>
    <row r="490" spans="2:2" s="199" customFormat="1">
      <c r="B490" s="817"/>
    </row>
    <row r="491" spans="2:2" s="199" customFormat="1">
      <c r="B491" s="817"/>
    </row>
    <row r="492" spans="2:2" s="199" customFormat="1">
      <c r="B492" s="817"/>
    </row>
    <row r="493" spans="2:2" s="199" customFormat="1">
      <c r="B493" s="817"/>
    </row>
    <row r="494" spans="2:2" s="199" customFormat="1">
      <c r="B494" s="817"/>
    </row>
    <row r="495" spans="2:2" s="199" customFormat="1">
      <c r="B495" s="817"/>
    </row>
    <row r="496" spans="2:2" s="199" customFormat="1">
      <c r="B496" s="817"/>
    </row>
    <row r="497" spans="2:2" s="199" customFormat="1">
      <c r="B497" s="817"/>
    </row>
    <row r="498" spans="2:2" s="199" customFormat="1">
      <c r="B498" s="817"/>
    </row>
    <row r="499" spans="2:2" s="199" customFormat="1">
      <c r="B499" s="817"/>
    </row>
    <row r="500" spans="2:2" s="199" customFormat="1">
      <c r="B500" s="817"/>
    </row>
    <row r="501" spans="2:2" s="199" customFormat="1">
      <c r="B501" s="817"/>
    </row>
    <row r="502" spans="2:2" s="199" customFormat="1">
      <c r="B502" s="817"/>
    </row>
    <row r="503" spans="2:2" s="199" customFormat="1">
      <c r="B503" s="817"/>
    </row>
    <row r="504" spans="2:2" s="199" customFormat="1">
      <c r="B504" s="817"/>
    </row>
    <row r="505" spans="2:2" s="199" customFormat="1">
      <c r="B505" s="817"/>
    </row>
    <row r="506" spans="2:2" s="199" customFormat="1">
      <c r="B506" s="817"/>
    </row>
    <row r="507" spans="2:2" s="199" customFormat="1">
      <c r="B507" s="817"/>
    </row>
    <row r="508" spans="2:2" s="199" customFormat="1">
      <c r="B508" s="817"/>
    </row>
    <row r="509" spans="2:2" s="199" customFormat="1">
      <c r="B509" s="817"/>
    </row>
    <row r="510" spans="2:2" s="199" customFormat="1">
      <c r="B510" s="817"/>
    </row>
    <row r="511" spans="2:2" s="199" customFormat="1">
      <c r="B511" s="817"/>
    </row>
    <row r="512" spans="2:2" s="199" customFormat="1">
      <c r="B512" s="817"/>
    </row>
    <row r="513" spans="2:2" s="199" customFormat="1">
      <c r="B513" s="817"/>
    </row>
    <row r="514" spans="2:2" s="199" customFormat="1">
      <c r="B514" s="817"/>
    </row>
    <row r="515" spans="2:2" s="199" customFormat="1">
      <c r="B515" s="817"/>
    </row>
    <row r="516" spans="2:2" s="199" customFormat="1">
      <c r="B516" s="817"/>
    </row>
    <row r="517" spans="2:2" s="199" customFormat="1">
      <c r="B517" s="817"/>
    </row>
    <row r="518" spans="2:2" s="199" customFormat="1">
      <c r="B518" s="817"/>
    </row>
    <row r="519" spans="2:2" s="199" customFormat="1">
      <c r="B519" s="817"/>
    </row>
    <row r="520" spans="2:2" s="199" customFormat="1">
      <c r="B520" s="817"/>
    </row>
    <row r="521" spans="2:2" s="199" customFormat="1">
      <c r="B521" s="817"/>
    </row>
    <row r="522" spans="2:2" s="199" customFormat="1">
      <c r="B522" s="817"/>
    </row>
    <row r="523" spans="2:2" s="199" customFormat="1">
      <c r="B523" s="817"/>
    </row>
    <row r="524" spans="2:2" s="199" customFormat="1">
      <c r="B524" s="817"/>
    </row>
    <row r="525" spans="2:2" s="199" customFormat="1">
      <c r="B525" s="817"/>
    </row>
    <row r="526" spans="2:2" s="199" customFormat="1">
      <c r="B526" s="817"/>
    </row>
    <row r="527" spans="2:2" s="199" customFormat="1">
      <c r="B527" s="817"/>
    </row>
    <row r="528" spans="2:2" s="199" customFormat="1">
      <c r="B528" s="817"/>
    </row>
    <row r="529" spans="2:2" s="199" customFormat="1">
      <c r="B529" s="817"/>
    </row>
    <row r="530" spans="2:2" s="199" customFormat="1">
      <c r="B530" s="817"/>
    </row>
    <row r="531" spans="2:2" s="199" customFormat="1">
      <c r="B531" s="817"/>
    </row>
    <row r="532" spans="2:2" s="199" customFormat="1">
      <c r="B532" s="817"/>
    </row>
    <row r="533" spans="2:2" s="199" customFormat="1">
      <c r="B533" s="817"/>
    </row>
    <row r="534" spans="2:2" s="199" customFormat="1">
      <c r="B534" s="817"/>
    </row>
    <row r="535" spans="2:2" s="199" customFormat="1">
      <c r="B535" s="817"/>
    </row>
    <row r="536" spans="2:2" s="199" customFormat="1">
      <c r="B536" s="817"/>
    </row>
    <row r="537" spans="2:2" s="199" customFormat="1">
      <c r="B537" s="817"/>
    </row>
    <row r="538" spans="2:2" s="199" customFormat="1">
      <c r="B538" s="817"/>
    </row>
    <row r="539" spans="2:2" s="199" customFormat="1">
      <c r="B539" s="817"/>
    </row>
    <row r="540" spans="2:2" s="199" customFormat="1">
      <c r="B540" s="817"/>
    </row>
    <row r="541" spans="2:2" s="199" customFormat="1">
      <c r="B541" s="817"/>
    </row>
    <row r="542" spans="2:2" s="199" customFormat="1">
      <c r="B542" s="817"/>
    </row>
    <row r="543" spans="2:2" s="199" customFormat="1">
      <c r="B543" s="817"/>
    </row>
    <row r="544" spans="2:2" s="199" customFormat="1">
      <c r="B544" s="817"/>
    </row>
    <row r="545" spans="2:2" s="199" customFormat="1">
      <c r="B545" s="817"/>
    </row>
    <row r="546" spans="2:2" s="199" customFormat="1">
      <c r="B546" s="817"/>
    </row>
    <row r="547" spans="2:2" s="199" customFormat="1">
      <c r="B547" s="817"/>
    </row>
    <row r="548" spans="2:2" s="199" customFormat="1">
      <c r="B548" s="817"/>
    </row>
    <row r="549" spans="2:2" s="199" customFormat="1">
      <c r="B549" s="817"/>
    </row>
    <row r="550" spans="2:2" s="199" customFormat="1">
      <c r="B550" s="817"/>
    </row>
    <row r="551" spans="2:2" s="199" customFormat="1">
      <c r="B551" s="817"/>
    </row>
    <row r="552" spans="2:2" s="199" customFormat="1">
      <c r="B552" s="817"/>
    </row>
    <row r="553" spans="2:2" s="199" customFormat="1">
      <c r="B553" s="817"/>
    </row>
    <row r="554" spans="2:2" s="199" customFormat="1">
      <c r="B554" s="817"/>
    </row>
    <row r="555" spans="2:2" s="199" customFormat="1">
      <c r="B555" s="817"/>
    </row>
    <row r="556" spans="2:2" s="199" customFormat="1">
      <c r="B556" s="817"/>
    </row>
    <row r="557" spans="2:2" s="199" customFormat="1">
      <c r="B557" s="817"/>
    </row>
    <row r="558" spans="2:2" s="199" customFormat="1">
      <c r="B558" s="817"/>
    </row>
    <row r="559" spans="2:2" s="199" customFormat="1">
      <c r="B559" s="817"/>
    </row>
    <row r="560" spans="2:2" s="199" customFormat="1">
      <c r="B560" s="817"/>
    </row>
    <row r="561" spans="2:2" s="199" customFormat="1">
      <c r="B561" s="817"/>
    </row>
    <row r="562" spans="2:2" s="199" customFormat="1">
      <c r="B562" s="817"/>
    </row>
    <row r="563" spans="2:2" s="199" customFormat="1">
      <c r="B563" s="817"/>
    </row>
    <row r="564" spans="2:2" s="199" customFormat="1">
      <c r="B564" s="817"/>
    </row>
    <row r="565" spans="2:2" s="199" customFormat="1">
      <c r="B565" s="817"/>
    </row>
    <row r="566" spans="2:2" s="199" customFormat="1">
      <c r="B566" s="817"/>
    </row>
    <row r="567" spans="2:2" s="199" customFormat="1">
      <c r="B567" s="817"/>
    </row>
    <row r="568" spans="2:2" s="199" customFormat="1">
      <c r="B568" s="817"/>
    </row>
    <row r="569" spans="2:2" s="199" customFormat="1">
      <c r="B569" s="817"/>
    </row>
    <row r="570" spans="2:2" s="199" customFormat="1">
      <c r="B570" s="817"/>
    </row>
    <row r="571" spans="2:2" s="199" customFormat="1">
      <c r="B571" s="817"/>
    </row>
    <row r="572" spans="2:2" s="199" customFormat="1">
      <c r="B572" s="817"/>
    </row>
    <row r="573" spans="2:2" s="199" customFormat="1">
      <c r="B573" s="817"/>
    </row>
    <row r="574" spans="2:2" s="199" customFormat="1">
      <c r="B574" s="817"/>
    </row>
    <row r="575" spans="2:2" s="199" customFormat="1">
      <c r="B575" s="817"/>
    </row>
    <row r="576" spans="2:2" s="199" customFormat="1">
      <c r="B576" s="817"/>
    </row>
    <row r="577" spans="2:2" s="199" customFormat="1">
      <c r="B577" s="817"/>
    </row>
    <row r="578" spans="2:2" s="199" customFormat="1">
      <c r="B578" s="817"/>
    </row>
    <row r="579" spans="2:2" s="199" customFormat="1">
      <c r="B579" s="817"/>
    </row>
    <row r="580" spans="2:2" s="199" customFormat="1">
      <c r="B580" s="817"/>
    </row>
    <row r="581" spans="2:2" s="199" customFormat="1">
      <c r="B581" s="817"/>
    </row>
    <row r="582" spans="2:2" s="199" customFormat="1">
      <c r="B582" s="817"/>
    </row>
    <row r="583" spans="2:2" s="199" customFormat="1">
      <c r="B583" s="817"/>
    </row>
    <row r="584" spans="2:2" s="199" customFormat="1">
      <c r="B584" s="817"/>
    </row>
    <row r="585" spans="2:2" s="199" customFormat="1">
      <c r="B585" s="817"/>
    </row>
    <row r="586" spans="2:2" s="199" customFormat="1">
      <c r="B586" s="817"/>
    </row>
    <row r="587" spans="2:2" s="199" customFormat="1">
      <c r="B587" s="817"/>
    </row>
    <row r="588" spans="2:2" s="199" customFormat="1">
      <c r="B588" s="817"/>
    </row>
    <row r="589" spans="2:2" s="199" customFormat="1">
      <c r="B589" s="817"/>
    </row>
    <row r="590" spans="2:2" s="199" customFormat="1">
      <c r="B590" s="817"/>
    </row>
    <row r="591" spans="2:2" s="199" customFormat="1">
      <c r="B591" s="817"/>
    </row>
    <row r="592" spans="2:2" s="199" customFormat="1">
      <c r="B592" s="817"/>
    </row>
    <row r="593" spans="2:2" s="199" customFormat="1">
      <c r="B593" s="817"/>
    </row>
    <row r="594" spans="2:2" s="199" customFormat="1">
      <c r="B594" s="817"/>
    </row>
    <row r="595" spans="2:2" s="199" customFormat="1">
      <c r="B595" s="817"/>
    </row>
    <row r="596" spans="2:2" s="199" customFormat="1">
      <c r="B596" s="817"/>
    </row>
    <row r="597" spans="2:2" s="199" customFormat="1">
      <c r="B597" s="817"/>
    </row>
    <row r="598" spans="2:2" s="199" customFormat="1">
      <c r="B598" s="817"/>
    </row>
    <row r="599" spans="2:2" s="199" customFormat="1">
      <c r="B599" s="817"/>
    </row>
    <row r="600" spans="2:2" s="199" customFormat="1">
      <c r="B600" s="817"/>
    </row>
    <row r="601" spans="2:2" s="199" customFormat="1">
      <c r="B601" s="817"/>
    </row>
    <row r="602" spans="2:2" s="199" customFormat="1">
      <c r="B602" s="817"/>
    </row>
    <row r="603" spans="2:2" s="199" customFormat="1">
      <c r="B603" s="817"/>
    </row>
    <row r="604" spans="2:2" s="199" customFormat="1">
      <c r="B604" s="817"/>
    </row>
    <row r="605" spans="2:2" s="199" customFormat="1">
      <c r="B605" s="817"/>
    </row>
    <row r="606" spans="2:2" s="199" customFormat="1">
      <c r="B606" s="817"/>
    </row>
    <row r="607" spans="2:2" s="199" customFormat="1">
      <c r="B607" s="817"/>
    </row>
    <row r="608" spans="2:2" s="199" customFormat="1">
      <c r="B608" s="817"/>
    </row>
    <row r="609" spans="2:2" s="199" customFormat="1">
      <c r="B609" s="817"/>
    </row>
    <row r="610" spans="2:2" s="199" customFormat="1">
      <c r="B610" s="817"/>
    </row>
    <row r="611" spans="2:2" s="199" customFormat="1">
      <c r="B611" s="817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41">
    <mergeCell ref="F16:J16"/>
    <mergeCell ref="O47:Q47"/>
    <mergeCell ref="E17:K17"/>
    <mergeCell ref="O51:Q51"/>
    <mergeCell ref="C40:J40"/>
    <mergeCell ref="M39:T42"/>
    <mergeCell ref="P20:S22"/>
    <mergeCell ref="Q37:S37"/>
    <mergeCell ref="P17:S17"/>
    <mergeCell ref="O44:R44"/>
    <mergeCell ref="F19:J19"/>
    <mergeCell ref="P19:S19"/>
    <mergeCell ref="C42:J42"/>
    <mergeCell ref="P18:R18"/>
    <mergeCell ref="P16:Q16"/>
    <mergeCell ref="O56:S56"/>
    <mergeCell ref="C41:J41"/>
    <mergeCell ref="O50:R50"/>
    <mergeCell ref="C53:J53"/>
    <mergeCell ref="C54:J54"/>
    <mergeCell ref="O61:R61"/>
    <mergeCell ref="O53:Q53"/>
    <mergeCell ref="P25:S25"/>
    <mergeCell ref="O8:S8"/>
    <mergeCell ref="N15:S15"/>
    <mergeCell ref="P26:R26"/>
    <mergeCell ref="O14:S14"/>
    <mergeCell ref="O52:Q52"/>
    <mergeCell ref="O45:Q45"/>
    <mergeCell ref="O46:Q46"/>
    <mergeCell ref="O49:S49"/>
    <mergeCell ref="O43:S43"/>
    <mergeCell ref="O57:Q57"/>
    <mergeCell ref="O58:Q58"/>
    <mergeCell ref="O59:Q59"/>
    <mergeCell ref="O60:Q60"/>
    <mergeCell ref="O62:S62"/>
    <mergeCell ref="O63:Q63"/>
    <mergeCell ref="O64:Q64"/>
    <mergeCell ref="O65:Q65"/>
    <mergeCell ref="O66:Q66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4"/>
  <sheetViews>
    <sheetView zoomScale="150" zoomScaleNormal="150" workbookViewId="0">
      <pane xSplit="1" ySplit="5" topLeftCell="E35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50"/>
    </sheetView>
  </sheetViews>
  <sheetFormatPr defaultColWidth="9.140625" defaultRowHeight="12.75"/>
  <cols>
    <col min="1" max="1" width="8.85546875" style="453" customWidth="1"/>
    <col min="2" max="2" width="12.85546875" style="453" customWidth="1"/>
    <col min="3" max="3" width="13.5703125" style="453" customWidth="1"/>
    <col min="4" max="4" width="13" style="453" customWidth="1"/>
    <col min="5" max="5" width="14" style="453" customWidth="1"/>
    <col min="6" max="6" width="14.5703125" style="453" customWidth="1"/>
    <col min="7" max="7" width="15.28515625" style="453" customWidth="1"/>
    <col min="8" max="8" width="14.85546875" style="453" customWidth="1"/>
    <col min="9" max="9" width="15.85546875" style="453" customWidth="1"/>
    <col min="10" max="10" width="16" style="453" customWidth="1"/>
    <col min="11" max="11" width="15.28515625" style="453" customWidth="1"/>
    <col min="12" max="13" width="9.140625" style="453"/>
    <col min="14" max="14" width="10.42578125" style="453" customWidth="1"/>
    <col min="15" max="19" width="9.140625" style="453"/>
    <col min="20" max="20" width="10.140625" style="453" customWidth="1"/>
    <col min="21" max="16384" width="9.140625" style="453"/>
  </cols>
  <sheetData>
    <row r="1" spans="1:14" s="172" customFormat="1" ht="15" customHeight="1">
      <c r="B1" s="548"/>
      <c r="C1" s="548"/>
      <c r="D1" s="2007" t="s">
        <v>841</v>
      </c>
      <c r="E1" s="2007"/>
      <c r="F1" s="2007"/>
      <c r="G1" s="2014" t="s">
        <v>449</v>
      </c>
      <c r="H1" s="2014"/>
      <c r="I1" s="2014"/>
      <c r="J1" s="548"/>
      <c r="K1" s="1459" t="s">
        <v>216</v>
      </c>
    </row>
    <row r="2" spans="1:14" s="175" customFormat="1" ht="11.25" customHeight="1">
      <c r="F2" s="1239"/>
      <c r="K2" s="1460" t="s">
        <v>24</v>
      </c>
    </row>
    <row r="3" spans="1:14" s="175" customFormat="1" ht="11.25" customHeight="1">
      <c r="A3" s="1928" t="s">
        <v>984</v>
      </c>
      <c r="B3" s="1871" t="s">
        <v>501</v>
      </c>
      <c r="C3" s="2054" t="s">
        <v>1250</v>
      </c>
      <c r="D3" s="1900" t="s">
        <v>858</v>
      </c>
      <c r="E3" s="2052"/>
      <c r="F3" s="2053"/>
      <c r="G3" s="2052" t="s">
        <v>151</v>
      </c>
      <c r="H3" s="2052"/>
      <c r="I3" s="2053"/>
      <c r="J3" s="1871" t="s">
        <v>808</v>
      </c>
      <c r="K3" s="1871" t="s">
        <v>936</v>
      </c>
    </row>
    <row r="4" spans="1:14" s="175" customFormat="1" ht="11.25" customHeight="1">
      <c r="A4" s="1928"/>
      <c r="B4" s="1872"/>
      <c r="C4" s="1872"/>
      <c r="D4" s="1457" t="s">
        <v>399</v>
      </c>
      <c r="E4" s="1457" t="s">
        <v>495</v>
      </c>
      <c r="F4" s="1457" t="s">
        <v>402</v>
      </c>
      <c r="G4" s="1457" t="s">
        <v>399</v>
      </c>
      <c r="H4" s="1457" t="s">
        <v>495</v>
      </c>
      <c r="I4" s="1458" t="s">
        <v>494</v>
      </c>
      <c r="J4" s="1872"/>
      <c r="K4" s="1872"/>
    </row>
    <row r="5" spans="1:14" s="550" customFormat="1" ht="16.5" customHeight="1">
      <c r="A5" s="1928"/>
      <c r="B5" s="354">
        <v>1</v>
      </c>
      <c r="C5" s="354">
        <v>2</v>
      </c>
      <c r="D5" s="549">
        <v>3</v>
      </c>
      <c r="E5" s="533">
        <v>4</v>
      </c>
      <c r="F5" s="549" t="s">
        <v>217</v>
      </c>
      <c r="G5" s="354">
        <v>6</v>
      </c>
      <c r="H5" s="354">
        <v>7</v>
      </c>
      <c r="I5" s="354" t="s">
        <v>220</v>
      </c>
      <c r="J5" s="533">
        <v>9</v>
      </c>
      <c r="K5" s="533" t="s">
        <v>218</v>
      </c>
    </row>
    <row r="6" spans="1:14" ht="12.6" customHeight="1">
      <c r="A6" s="148" t="s">
        <v>81</v>
      </c>
      <c r="B6" s="479">
        <v>115781.9</v>
      </c>
      <c r="C6" s="56">
        <v>12.31</v>
      </c>
      <c r="D6" s="479">
        <v>1762.9</v>
      </c>
      <c r="E6" s="56">
        <v>855.33</v>
      </c>
      <c r="F6" s="56">
        <f t="shared" ref="F6:F7" si="0">D6+E6</f>
        <v>2618.23</v>
      </c>
      <c r="G6" s="479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51"/>
    </row>
    <row r="7" spans="1:14" ht="12.6" customHeight="1">
      <c r="A7" s="327" t="s">
        <v>192</v>
      </c>
      <c r="B7" s="480">
        <v>137011.5</v>
      </c>
      <c r="C7" s="308">
        <v>9.4</v>
      </c>
      <c r="D7" s="480">
        <v>2162.1</v>
      </c>
      <c r="E7" s="308">
        <v>2320.9</v>
      </c>
      <c r="F7" s="308">
        <f t="shared" si="0"/>
        <v>4483</v>
      </c>
      <c r="G7" s="480">
        <v>14837.8</v>
      </c>
      <c r="H7" s="308">
        <v>273618.90000000002</v>
      </c>
      <c r="I7" s="308">
        <f t="shared" si="1"/>
        <v>288456.7</v>
      </c>
      <c r="J7" s="308">
        <v>83570.100000000006</v>
      </c>
      <c r="K7" s="308">
        <f t="shared" si="2"/>
        <v>513530.69999999995</v>
      </c>
      <c r="M7" s="551"/>
    </row>
    <row r="8" spans="1:14" ht="12.6" customHeight="1">
      <c r="A8" s="148" t="s">
        <v>757</v>
      </c>
      <c r="B8" s="479">
        <v>155823.70000000001</v>
      </c>
      <c r="C8" s="56">
        <v>5.8</v>
      </c>
      <c r="D8" s="479">
        <v>2533.9</v>
      </c>
      <c r="E8" s="56">
        <v>3231.1</v>
      </c>
      <c r="F8" s="56">
        <v>5765</v>
      </c>
      <c r="G8" s="479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51"/>
    </row>
    <row r="9" spans="1:14" s="371" customFormat="1" ht="12.6" customHeight="1">
      <c r="A9" s="413" t="s">
        <v>866</v>
      </c>
      <c r="B9" s="480">
        <v>174978.3</v>
      </c>
      <c r="C9" s="304">
        <v>2.2999999999999998</v>
      </c>
      <c r="D9" s="480">
        <v>3450</v>
      </c>
      <c r="E9" s="304">
        <v>5171.6000000000004</v>
      </c>
      <c r="F9" s="304">
        <v>8621.6</v>
      </c>
      <c r="G9" s="480">
        <v>5968.1</v>
      </c>
      <c r="H9" s="304">
        <v>371817.6</v>
      </c>
      <c r="I9" s="308">
        <v>377785.69999999995</v>
      </c>
      <c r="J9" s="304">
        <v>100452.9</v>
      </c>
      <c r="K9" s="308">
        <v>661840.79999999993</v>
      </c>
      <c r="M9" s="551"/>
    </row>
    <row r="10" spans="1:14" s="369" customFormat="1" ht="12.6" customHeight="1">
      <c r="A10" s="399" t="s">
        <v>1051</v>
      </c>
      <c r="B10" s="479">
        <v>194106.4</v>
      </c>
      <c r="C10" s="479">
        <v>0</v>
      </c>
      <c r="D10" s="479">
        <v>5184.7</v>
      </c>
      <c r="E10" s="479">
        <v>5839.1</v>
      </c>
      <c r="F10" s="479">
        <v>11023.8</v>
      </c>
      <c r="G10" s="479">
        <v>7468.8</v>
      </c>
      <c r="H10" s="479">
        <v>419702.1</v>
      </c>
      <c r="I10" s="479">
        <v>427170.89999999997</v>
      </c>
      <c r="J10" s="479">
        <v>112230.3</v>
      </c>
      <c r="K10" s="479">
        <v>744531.4</v>
      </c>
      <c r="L10" s="371"/>
      <c r="M10" s="551"/>
    </row>
    <row r="11" spans="1:14" s="369" customFormat="1" ht="12.6" customHeight="1">
      <c r="A11" s="413" t="s">
        <v>1105</v>
      </c>
      <c r="B11" s="478">
        <v>215482.2</v>
      </c>
      <c r="C11" s="478">
        <v>0</v>
      </c>
      <c r="D11" s="478">
        <v>5215.7</v>
      </c>
      <c r="E11" s="478">
        <v>7348.3</v>
      </c>
      <c r="F11" s="478">
        <v>12564</v>
      </c>
      <c r="G11" s="478">
        <v>11313.3</v>
      </c>
      <c r="H11" s="478">
        <v>475125.2</v>
      </c>
      <c r="I11" s="478">
        <v>486438.5</v>
      </c>
      <c r="J11" s="478">
        <v>124669.9</v>
      </c>
      <c r="K11" s="478">
        <v>839154.6</v>
      </c>
      <c r="M11" s="556"/>
    </row>
    <row r="12" spans="1:14" s="369" customFormat="1" ht="12.6" customHeight="1">
      <c r="A12" s="399" t="s">
        <v>1231</v>
      </c>
      <c r="B12" s="483">
        <v>252862.6</v>
      </c>
      <c r="C12" s="483">
        <v>0</v>
      </c>
      <c r="D12" s="483">
        <v>6541.6</v>
      </c>
      <c r="E12" s="483">
        <v>9916</v>
      </c>
      <c r="F12" s="483">
        <v>16457.599999999999</v>
      </c>
      <c r="G12" s="483">
        <v>9139.7000000000007</v>
      </c>
      <c r="H12" s="483">
        <v>565645.19999999995</v>
      </c>
      <c r="I12" s="483">
        <v>574784.89999999991</v>
      </c>
      <c r="J12" s="483">
        <v>135861.70000000001</v>
      </c>
      <c r="K12" s="483">
        <v>979966.79999999981</v>
      </c>
      <c r="M12" s="556"/>
    </row>
    <row r="13" spans="1:14" s="369" customFormat="1" ht="12.6" customHeight="1">
      <c r="A13" s="413" t="s">
        <v>1263</v>
      </c>
      <c r="B13" s="478">
        <v>288377.59999999998</v>
      </c>
      <c r="C13" s="478">
        <v>0</v>
      </c>
      <c r="D13" s="478">
        <v>7732.4</v>
      </c>
      <c r="E13" s="478">
        <v>14235.7</v>
      </c>
      <c r="F13" s="478">
        <v>21968.1</v>
      </c>
      <c r="G13" s="478">
        <v>9154.4</v>
      </c>
      <c r="H13" s="478">
        <v>651090.5</v>
      </c>
      <c r="I13" s="478">
        <v>660244.9</v>
      </c>
      <c r="J13" s="478">
        <v>159057.29999999999</v>
      </c>
      <c r="K13" s="478">
        <v>1129647.8999999999</v>
      </c>
      <c r="M13" s="556"/>
    </row>
    <row r="14" spans="1:14" s="369" customFormat="1" ht="12.6" customHeight="1">
      <c r="A14" s="561" t="s">
        <v>1392</v>
      </c>
      <c r="B14" s="483">
        <v>329523</v>
      </c>
      <c r="C14" s="483">
        <v>0</v>
      </c>
      <c r="D14" s="483">
        <v>1415.9</v>
      </c>
      <c r="E14" s="483">
        <v>20902.7</v>
      </c>
      <c r="F14" s="483">
        <v>22318.600000000002</v>
      </c>
      <c r="G14" s="483">
        <v>10709.7</v>
      </c>
      <c r="H14" s="483">
        <v>766225.4</v>
      </c>
      <c r="I14" s="483">
        <v>776935.1</v>
      </c>
      <c r="J14" s="483">
        <v>183088.4</v>
      </c>
      <c r="K14" s="483">
        <v>1311865.0999999999</v>
      </c>
      <c r="M14" s="556"/>
      <c r="N14" s="555"/>
    </row>
    <row r="15" spans="1:14" s="180" customFormat="1" ht="12.6" customHeight="1">
      <c r="A15" s="1404" t="s">
        <v>1511</v>
      </c>
      <c r="B15" s="478">
        <v>398418.5</v>
      </c>
      <c r="C15" s="478">
        <v>0</v>
      </c>
      <c r="D15" s="478">
        <v>2252.4</v>
      </c>
      <c r="E15" s="478">
        <v>28546.6</v>
      </c>
      <c r="F15" s="478">
        <v>30799</v>
      </c>
      <c r="G15" s="478">
        <v>12577.7</v>
      </c>
      <c r="H15" s="478">
        <v>846542.1</v>
      </c>
      <c r="I15" s="478">
        <v>859119.79999999993</v>
      </c>
      <c r="J15" s="478">
        <v>203477.6</v>
      </c>
      <c r="K15" s="478">
        <v>1491814.9</v>
      </c>
    </row>
    <row r="16" spans="1:14" ht="12.6" customHeight="1">
      <c r="A16" s="399" t="s">
        <v>1602</v>
      </c>
      <c r="B16" s="483">
        <v>483323.5</v>
      </c>
      <c r="C16" s="483">
        <v>0</v>
      </c>
      <c r="D16" s="483">
        <v>2519.4</v>
      </c>
      <c r="E16" s="483">
        <v>30302.1</v>
      </c>
      <c r="F16" s="483">
        <v>32821.5</v>
      </c>
      <c r="G16" s="483">
        <v>17966.599999999999</v>
      </c>
      <c r="H16" s="483">
        <v>922464.1</v>
      </c>
      <c r="I16" s="483">
        <v>940430.7</v>
      </c>
      <c r="J16" s="483">
        <v>214172.7</v>
      </c>
      <c r="K16" s="483">
        <v>1670748.4</v>
      </c>
      <c r="L16" s="551"/>
    </row>
    <row r="17" spans="1:15" ht="12.6" customHeight="1">
      <c r="A17" s="1461" t="s">
        <v>1668</v>
      </c>
      <c r="B17" s="573">
        <v>564520</v>
      </c>
      <c r="C17" s="573">
        <v>0</v>
      </c>
      <c r="D17" s="573">
        <v>2522.8000000000002</v>
      </c>
      <c r="E17" s="573">
        <v>29500</v>
      </c>
      <c r="F17" s="573">
        <v>32022.799999999999</v>
      </c>
      <c r="G17" s="573">
        <v>18449.099999999999</v>
      </c>
      <c r="H17" s="573">
        <v>994526.9</v>
      </c>
      <c r="I17" s="573">
        <v>1012976</v>
      </c>
      <c r="J17" s="573">
        <v>235190</v>
      </c>
      <c r="K17" s="573">
        <v>1844708.8</v>
      </c>
      <c r="L17" s="551"/>
      <c r="M17" s="551"/>
    </row>
    <row r="18" spans="1:15" ht="12.6" customHeight="1">
      <c r="A18" s="936" t="s">
        <v>2018</v>
      </c>
      <c r="B18" s="570">
        <f>B30</f>
        <v>647012.1</v>
      </c>
      <c r="C18" s="570">
        <f t="shared" ref="C18:K18" si="3">C30</f>
        <v>0</v>
      </c>
      <c r="D18" s="570">
        <f t="shared" si="3"/>
        <v>3617.6623075949301</v>
      </c>
      <c r="E18" s="570">
        <f t="shared" si="3"/>
        <v>28991.292731279518</v>
      </c>
      <c r="F18" s="570">
        <f t="shared" si="3"/>
        <v>32608.955038874446</v>
      </c>
      <c r="G18" s="570">
        <f t="shared" si="3"/>
        <v>25434.9005207714</v>
      </c>
      <c r="H18" s="570">
        <f t="shared" si="3"/>
        <v>1133333.5170284815</v>
      </c>
      <c r="I18" s="570">
        <f t="shared" si="3"/>
        <v>1158768.417549253</v>
      </c>
      <c r="J18" s="570">
        <f t="shared" si="3"/>
        <v>263754.42741187243</v>
      </c>
      <c r="K18" s="570">
        <f t="shared" si="3"/>
        <v>2102143.9</v>
      </c>
      <c r="L18" s="551"/>
      <c r="M18" s="551"/>
      <c r="N18" s="551"/>
      <c r="O18" s="551"/>
    </row>
    <row r="19" spans="1:15" ht="12.6" customHeight="1">
      <c r="A19" s="413" t="s">
        <v>576</v>
      </c>
      <c r="B19" s="482">
        <v>574805.4</v>
      </c>
      <c r="C19" s="478">
        <v>0</v>
      </c>
      <c r="D19" s="478">
        <v>2513.8577641087818</v>
      </c>
      <c r="E19" s="478">
        <v>28460.633497950552</v>
      </c>
      <c r="F19" s="478">
        <f t="shared" ref="F19:F50" si="4">D19+E19</f>
        <v>30974.491262059335</v>
      </c>
      <c r="G19" s="478">
        <v>18662.455745450501</v>
      </c>
      <c r="H19" s="478">
        <v>994409.93916433328</v>
      </c>
      <c r="I19" s="478">
        <f t="shared" ref="I19:I50" si="5">G19+H19</f>
        <v>1013072.3949097837</v>
      </c>
      <c r="J19" s="303">
        <v>235007.21382815702</v>
      </c>
      <c r="K19" s="303">
        <f t="shared" ref="K19:K50" si="6">B19+C19+F19+I19+J19</f>
        <v>1853859.5</v>
      </c>
      <c r="L19" s="551"/>
      <c r="M19" s="551"/>
      <c r="N19" s="551"/>
      <c r="O19" s="551"/>
    </row>
    <row r="20" spans="1:15" ht="12.6" customHeight="1">
      <c r="A20" s="399" t="s">
        <v>577</v>
      </c>
      <c r="B20" s="463">
        <v>574044.4</v>
      </c>
      <c r="C20" s="483">
        <v>0</v>
      </c>
      <c r="D20" s="483">
        <v>2519.086070930256</v>
      </c>
      <c r="E20" s="483">
        <v>27895.866015365056</v>
      </c>
      <c r="F20" s="483">
        <f t="shared" si="4"/>
        <v>30414.952086295314</v>
      </c>
      <c r="G20" s="483">
        <v>19036.412706213003</v>
      </c>
      <c r="H20" s="483">
        <v>1002378.1977650006</v>
      </c>
      <c r="I20" s="483">
        <f t="shared" si="5"/>
        <v>1021414.6104712136</v>
      </c>
      <c r="J20" s="238">
        <v>235373.6374424909</v>
      </c>
      <c r="K20" s="238">
        <f t="shared" si="6"/>
        <v>1861247.6</v>
      </c>
      <c r="L20" s="551"/>
      <c r="M20" s="551"/>
      <c r="N20" s="551"/>
      <c r="O20" s="551"/>
    </row>
    <row r="21" spans="1:15" ht="12.6" customHeight="1">
      <c r="A21" s="413" t="s">
        <v>571</v>
      </c>
      <c r="B21" s="482">
        <v>579830.5</v>
      </c>
      <c r="C21" s="478">
        <v>0</v>
      </c>
      <c r="D21" s="478">
        <v>2519.8880632881983</v>
      </c>
      <c r="E21" s="478">
        <v>28419.699387998484</v>
      </c>
      <c r="F21" s="478">
        <f t="shared" si="4"/>
        <v>30939.587451286683</v>
      </c>
      <c r="G21" s="478">
        <v>19813.427802338101</v>
      </c>
      <c r="H21" s="478">
        <v>1015443.7365898986</v>
      </c>
      <c r="I21" s="478">
        <f t="shared" si="5"/>
        <v>1035257.1643922367</v>
      </c>
      <c r="J21" s="303">
        <v>237413.54815647646</v>
      </c>
      <c r="K21" s="303">
        <f t="shared" si="6"/>
        <v>1883440.7999999998</v>
      </c>
      <c r="L21" s="551"/>
      <c r="M21" s="551"/>
      <c r="N21" s="551"/>
      <c r="O21" s="551"/>
    </row>
    <row r="22" spans="1:15" ht="12.6" customHeight="1">
      <c r="A22" s="399" t="s">
        <v>578</v>
      </c>
      <c r="B22" s="463">
        <v>583870</v>
      </c>
      <c r="C22" s="483">
        <v>0</v>
      </c>
      <c r="D22" s="483">
        <v>3163.0463867489202</v>
      </c>
      <c r="E22" s="483">
        <v>24095.712242465019</v>
      </c>
      <c r="F22" s="483">
        <f t="shared" si="4"/>
        <v>27258.758629213939</v>
      </c>
      <c r="G22" s="483">
        <v>20350.419995836302</v>
      </c>
      <c r="H22" s="483">
        <v>1027427.8920928462</v>
      </c>
      <c r="I22" s="483">
        <f t="shared" si="5"/>
        <v>1047778.3120886825</v>
      </c>
      <c r="J22" s="238">
        <v>238535.02928210323</v>
      </c>
      <c r="K22" s="238">
        <f t="shared" si="6"/>
        <v>1897442.0999999996</v>
      </c>
      <c r="L22" s="551"/>
      <c r="M22" s="551"/>
      <c r="N22" s="551"/>
      <c r="O22" s="551"/>
    </row>
    <row r="23" spans="1:15" ht="12.6" customHeight="1">
      <c r="A23" s="413" t="s">
        <v>579</v>
      </c>
      <c r="B23" s="482">
        <v>593688.9</v>
      </c>
      <c r="C23" s="478">
        <v>0</v>
      </c>
      <c r="D23" s="478">
        <v>3188.32598863967</v>
      </c>
      <c r="E23" s="478">
        <v>25190.762820601394</v>
      </c>
      <c r="F23" s="478">
        <f t="shared" si="4"/>
        <v>28379.088809241064</v>
      </c>
      <c r="G23" s="478">
        <v>21880.5397731099</v>
      </c>
      <c r="H23" s="478">
        <v>1036596.2447698563</v>
      </c>
      <c r="I23" s="478">
        <f t="shared" si="5"/>
        <v>1058476.7845429662</v>
      </c>
      <c r="J23" s="303">
        <v>243552.02664779278</v>
      </c>
      <c r="K23" s="303">
        <f t="shared" si="6"/>
        <v>1924096.7999999998</v>
      </c>
      <c r="L23" s="551"/>
      <c r="M23" s="551"/>
      <c r="N23" s="551"/>
      <c r="O23" s="551"/>
    </row>
    <row r="24" spans="1:15" ht="12.6" customHeight="1">
      <c r="A24" s="399" t="s">
        <v>572</v>
      </c>
      <c r="B24" s="463">
        <v>587766</v>
      </c>
      <c r="C24" s="483">
        <v>0</v>
      </c>
      <c r="D24" s="483">
        <v>3170.47563983901</v>
      </c>
      <c r="E24" s="483">
        <v>27280.342971444239</v>
      </c>
      <c r="F24" s="483">
        <f t="shared" si="4"/>
        <v>30450.818611283248</v>
      </c>
      <c r="G24" s="483">
        <v>23340.881152548798</v>
      </c>
      <c r="H24" s="483">
        <v>1058920.3345072635</v>
      </c>
      <c r="I24" s="483">
        <f t="shared" si="5"/>
        <v>1082261.2156598123</v>
      </c>
      <c r="J24" s="238">
        <v>247327.76572890449</v>
      </c>
      <c r="K24" s="238">
        <f t="shared" si="6"/>
        <v>1947805.7999999998</v>
      </c>
      <c r="L24" s="551"/>
      <c r="M24" s="551"/>
      <c r="N24" s="551"/>
      <c r="O24" s="551"/>
    </row>
    <row r="25" spans="1:15" ht="12.6" customHeight="1">
      <c r="A25" s="413" t="s">
        <v>580</v>
      </c>
      <c r="B25" s="482">
        <v>587851.19999999995</v>
      </c>
      <c r="C25" s="478">
        <v>0</v>
      </c>
      <c r="D25" s="478">
        <v>3043.2423402395702</v>
      </c>
      <c r="E25" s="478">
        <v>27246.172679182549</v>
      </c>
      <c r="F25" s="478">
        <f t="shared" si="4"/>
        <v>30289.415019422118</v>
      </c>
      <c r="G25" s="478">
        <v>24974.559916224502</v>
      </c>
      <c r="H25" s="478">
        <v>1059626.4978584691</v>
      </c>
      <c r="I25" s="478">
        <f t="shared" si="5"/>
        <v>1084601.0577746937</v>
      </c>
      <c r="J25" s="303">
        <v>250849.02720588457</v>
      </c>
      <c r="K25" s="303">
        <f t="shared" si="6"/>
        <v>1953590.7000000002</v>
      </c>
      <c r="L25" s="551"/>
      <c r="M25" s="551"/>
      <c r="N25" s="551"/>
      <c r="O25" s="551"/>
    </row>
    <row r="26" spans="1:15" ht="12.6" customHeight="1">
      <c r="A26" s="399" t="s">
        <v>581</v>
      </c>
      <c r="B26" s="463">
        <v>589677.69999999995</v>
      </c>
      <c r="C26" s="483">
        <v>0</v>
      </c>
      <c r="D26" s="483">
        <v>3051.4051474155399</v>
      </c>
      <c r="E26" s="483">
        <v>27820.023037405368</v>
      </c>
      <c r="F26" s="483">
        <f t="shared" si="4"/>
        <v>30871.428184820907</v>
      </c>
      <c r="G26" s="483">
        <v>24536.539059167899</v>
      </c>
      <c r="H26" s="483">
        <v>1069937.2003945711</v>
      </c>
      <c r="I26" s="483">
        <f t="shared" si="5"/>
        <v>1094473.739453739</v>
      </c>
      <c r="J26" s="238">
        <v>253655.03236144001</v>
      </c>
      <c r="K26" s="238">
        <f t="shared" si="6"/>
        <v>1968677.9</v>
      </c>
      <c r="L26" s="551"/>
      <c r="M26" s="551"/>
      <c r="N26" s="551"/>
      <c r="O26" s="551"/>
    </row>
    <row r="27" spans="1:15" ht="12.6" customHeight="1">
      <c r="A27" s="413" t="s">
        <v>573</v>
      </c>
      <c r="B27" s="482">
        <v>595686.29999999993</v>
      </c>
      <c r="C27" s="478">
        <v>0</v>
      </c>
      <c r="D27" s="478">
        <v>3053.2820619899603</v>
      </c>
      <c r="E27" s="478">
        <v>28677.585237845033</v>
      </c>
      <c r="F27" s="478">
        <f t="shared" si="4"/>
        <v>31730.867299834994</v>
      </c>
      <c r="G27" s="478">
        <v>24352.1328814605</v>
      </c>
      <c r="H27" s="478">
        <v>1078538.3307947272</v>
      </c>
      <c r="I27" s="478">
        <f t="shared" si="5"/>
        <v>1102890.4636761877</v>
      </c>
      <c r="J27" s="303">
        <v>257386.76902397731</v>
      </c>
      <c r="K27" s="303">
        <f t="shared" si="6"/>
        <v>1987694.4</v>
      </c>
      <c r="L27" s="551"/>
      <c r="M27" s="551"/>
      <c r="N27" s="551"/>
      <c r="O27" s="551"/>
    </row>
    <row r="28" spans="1:15" ht="12.6" customHeight="1">
      <c r="A28" s="399" t="s">
        <v>582</v>
      </c>
      <c r="B28" s="463">
        <v>615686.5</v>
      </c>
      <c r="C28" s="483">
        <v>0</v>
      </c>
      <c r="D28" s="483">
        <v>3077.0229079117303</v>
      </c>
      <c r="E28" s="483">
        <v>29180.129083903059</v>
      </c>
      <c r="F28" s="483">
        <f t="shared" si="4"/>
        <v>32257.15199181479</v>
      </c>
      <c r="G28" s="483">
        <v>24534.4800545547</v>
      </c>
      <c r="H28" s="483">
        <v>1095543.3055846377</v>
      </c>
      <c r="I28" s="483">
        <f t="shared" si="5"/>
        <v>1120077.7856391924</v>
      </c>
      <c r="J28" s="238">
        <v>260284.76236899279</v>
      </c>
      <c r="K28" s="238">
        <f t="shared" si="6"/>
        <v>2028306.2000000002</v>
      </c>
      <c r="L28" s="551"/>
      <c r="M28" s="551"/>
      <c r="N28" s="551"/>
      <c r="O28" s="551"/>
    </row>
    <row r="29" spans="1:15" ht="12.6" customHeight="1">
      <c r="A29" s="413" t="s">
        <v>583</v>
      </c>
      <c r="B29" s="482">
        <v>612970.60000000009</v>
      </c>
      <c r="C29" s="478">
        <v>0</v>
      </c>
      <c r="D29" s="478">
        <v>3083.9966111093099</v>
      </c>
      <c r="E29" s="478">
        <v>28931.488408445646</v>
      </c>
      <c r="F29" s="478">
        <f t="shared" si="4"/>
        <v>32015.485019554955</v>
      </c>
      <c r="G29" s="478">
        <v>25608.771344650399</v>
      </c>
      <c r="H29" s="478">
        <v>1112822.1413674683</v>
      </c>
      <c r="I29" s="478">
        <f t="shared" si="5"/>
        <v>1138430.9127121186</v>
      </c>
      <c r="J29" s="303">
        <v>257207.70226832642</v>
      </c>
      <c r="K29" s="303">
        <f t="shared" si="6"/>
        <v>2040624.7</v>
      </c>
      <c r="L29" s="551"/>
      <c r="M29" s="551"/>
      <c r="N29" s="551"/>
      <c r="O29" s="551"/>
    </row>
    <row r="30" spans="1:15" ht="12.6" customHeight="1">
      <c r="A30" s="399" t="s">
        <v>574</v>
      </c>
      <c r="B30" s="463">
        <v>647012.1</v>
      </c>
      <c r="C30" s="483">
        <v>0</v>
      </c>
      <c r="D30" s="483">
        <v>3617.6623075949301</v>
      </c>
      <c r="E30" s="483">
        <v>28991.292731279518</v>
      </c>
      <c r="F30" s="483">
        <f t="shared" si="4"/>
        <v>32608.955038874446</v>
      </c>
      <c r="G30" s="483">
        <v>25434.9005207714</v>
      </c>
      <c r="H30" s="483">
        <v>1133333.5170284815</v>
      </c>
      <c r="I30" s="483">
        <f t="shared" si="5"/>
        <v>1158768.417549253</v>
      </c>
      <c r="J30" s="238">
        <v>263754.42741187243</v>
      </c>
      <c r="K30" s="238">
        <f t="shared" si="6"/>
        <v>2102143.9</v>
      </c>
      <c r="L30" s="551"/>
      <c r="M30" s="551"/>
      <c r="N30" s="551"/>
      <c r="O30" s="551"/>
    </row>
    <row r="31" spans="1:15" ht="12.6" customHeight="1">
      <c r="A31" s="1526" t="s">
        <v>2300</v>
      </c>
      <c r="B31" s="573">
        <f>B43</f>
        <v>747846.852503762</v>
      </c>
      <c r="C31" s="573">
        <f t="shared" ref="C31:K31" si="7">C43</f>
        <v>0</v>
      </c>
      <c r="D31" s="573">
        <f t="shared" si="7"/>
        <v>3588.2760941767501</v>
      </c>
      <c r="E31" s="573">
        <f t="shared" si="7"/>
        <v>30604.57865103833</v>
      </c>
      <c r="F31" s="573">
        <f t="shared" si="7"/>
        <v>34192.854745215081</v>
      </c>
      <c r="G31" s="573">
        <f t="shared" si="7"/>
        <v>33362.150288469296</v>
      </c>
      <c r="H31" s="573">
        <f t="shared" si="7"/>
        <v>1245158.7816230939</v>
      </c>
      <c r="I31" s="573">
        <f t="shared" si="7"/>
        <v>1278520.9319115633</v>
      </c>
      <c r="J31" s="573">
        <f t="shared" si="7"/>
        <v>294103.7256432448</v>
      </c>
      <c r="K31" s="573">
        <f t="shared" si="7"/>
        <v>2354664.3648037855</v>
      </c>
      <c r="L31" s="551"/>
      <c r="M31" s="551"/>
      <c r="N31" s="551"/>
      <c r="O31" s="551"/>
    </row>
    <row r="32" spans="1:15" ht="12.6" customHeight="1">
      <c r="A32" s="399" t="s">
        <v>576</v>
      </c>
      <c r="B32" s="463">
        <v>646059.4</v>
      </c>
      <c r="C32" s="483">
        <v>0</v>
      </c>
      <c r="D32" s="483">
        <v>3788.88629554109</v>
      </c>
      <c r="E32" s="483">
        <v>28876.300235268725</v>
      </c>
      <c r="F32" s="483">
        <f t="shared" si="4"/>
        <v>32665.186530809817</v>
      </c>
      <c r="G32" s="483">
        <v>26261.094929592498</v>
      </c>
      <c r="H32" s="483">
        <v>1135904.7798506904</v>
      </c>
      <c r="I32" s="483">
        <f t="shared" si="5"/>
        <v>1162165.8747802828</v>
      </c>
      <c r="J32" s="238">
        <v>263870.33868890727</v>
      </c>
      <c r="K32" s="238">
        <f t="shared" si="6"/>
        <v>2104760.7999999998</v>
      </c>
      <c r="L32" s="551"/>
      <c r="M32" s="551"/>
      <c r="N32" s="551"/>
      <c r="O32" s="551"/>
    </row>
    <row r="33" spans="1:15" ht="12.6" customHeight="1">
      <c r="A33" s="413" t="s">
        <v>577</v>
      </c>
      <c r="B33" s="482">
        <v>652920.10000000009</v>
      </c>
      <c r="C33" s="478">
        <v>0</v>
      </c>
      <c r="D33" s="478">
        <v>3521.8105959913</v>
      </c>
      <c r="E33" s="478">
        <v>28268.649580539884</v>
      </c>
      <c r="F33" s="478">
        <f t="shared" si="4"/>
        <v>31790.460176531185</v>
      </c>
      <c r="G33" s="478">
        <v>27058.385078708099</v>
      </c>
      <c r="H33" s="478">
        <v>1145366.4886360515</v>
      </c>
      <c r="I33" s="478">
        <f t="shared" si="5"/>
        <v>1172424.8737147597</v>
      </c>
      <c r="J33" s="303">
        <v>265752.26610870915</v>
      </c>
      <c r="K33" s="303">
        <f t="shared" si="6"/>
        <v>2122887.7000000002</v>
      </c>
      <c r="L33" s="551"/>
      <c r="M33" s="551"/>
      <c r="N33" s="551"/>
      <c r="O33" s="551"/>
    </row>
    <row r="34" spans="1:15" ht="12.6" customHeight="1">
      <c r="A34" s="399" t="s">
        <v>571</v>
      </c>
      <c r="B34" s="463">
        <v>656752.89999999991</v>
      </c>
      <c r="C34" s="483">
        <v>0</v>
      </c>
      <c r="D34" s="483">
        <v>3626.6792753902901</v>
      </c>
      <c r="E34" s="483">
        <v>28062.298521447279</v>
      </c>
      <c r="F34" s="483">
        <f t="shared" si="4"/>
        <v>31688.977796837571</v>
      </c>
      <c r="G34" s="483">
        <v>26374.032877540601</v>
      </c>
      <c r="H34" s="483">
        <v>1160747.9023133027</v>
      </c>
      <c r="I34" s="483">
        <f t="shared" si="5"/>
        <v>1187121.9351908434</v>
      </c>
      <c r="J34" s="238">
        <v>267711.18701231893</v>
      </c>
      <c r="K34" s="238">
        <f t="shared" si="6"/>
        <v>2143275</v>
      </c>
      <c r="L34" s="551"/>
      <c r="M34" s="551"/>
      <c r="N34" s="551"/>
      <c r="O34" s="551"/>
    </row>
    <row r="35" spans="1:15" ht="12.6" customHeight="1">
      <c r="A35" s="413" t="s">
        <v>578</v>
      </c>
      <c r="B35" s="482">
        <v>668692.80000000005</v>
      </c>
      <c r="C35" s="478">
        <v>0</v>
      </c>
      <c r="D35" s="478">
        <v>3612.6439494309802</v>
      </c>
      <c r="E35" s="478">
        <v>29272.261998138703</v>
      </c>
      <c r="F35" s="478">
        <f t="shared" si="4"/>
        <v>32884.905947569685</v>
      </c>
      <c r="G35" s="478">
        <v>27033.624915766901</v>
      </c>
      <c r="H35" s="478">
        <v>1168834.2039479583</v>
      </c>
      <c r="I35" s="478">
        <f t="shared" si="5"/>
        <v>1195867.8288637253</v>
      </c>
      <c r="J35" s="303">
        <v>270031.66518870508</v>
      </c>
      <c r="K35" s="303">
        <f t="shared" si="6"/>
        <v>2167477.2000000002</v>
      </c>
      <c r="L35" s="551"/>
      <c r="M35" s="551"/>
      <c r="N35" s="551"/>
      <c r="O35" s="551"/>
    </row>
    <row r="36" spans="1:15" ht="12.6" customHeight="1">
      <c r="A36" s="399" t="s">
        <v>579</v>
      </c>
      <c r="B36" s="463">
        <v>661578.1</v>
      </c>
      <c r="C36" s="483">
        <v>0</v>
      </c>
      <c r="D36" s="483">
        <v>3587.4784871398201</v>
      </c>
      <c r="E36" s="483">
        <v>30114.560406851284</v>
      </c>
      <c r="F36" s="483">
        <f t="shared" si="4"/>
        <v>33702.038893991106</v>
      </c>
      <c r="G36" s="483">
        <v>27708.6911802797</v>
      </c>
      <c r="H36" s="483">
        <v>1179777.4370906665</v>
      </c>
      <c r="I36" s="483">
        <f t="shared" si="5"/>
        <v>1207486.1282709462</v>
      </c>
      <c r="J36" s="238">
        <v>273352.73283506237</v>
      </c>
      <c r="K36" s="238">
        <f t="shared" si="6"/>
        <v>2176118.9999999995</v>
      </c>
      <c r="L36" s="551"/>
      <c r="M36" s="551"/>
      <c r="N36" s="551"/>
      <c r="O36" s="551"/>
    </row>
    <row r="37" spans="1:15" ht="12.6" customHeight="1">
      <c r="A37" s="413" t="s">
        <v>572</v>
      </c>
      <c r="B37" s="482">
        <v>654531.60000000009</v>
      </c>
      <c r="C37" s="478">
        <v>0</v>
      </c>
      <c r="D37" s="478">
        <v>3566.8507401352199</v>
      </c>
      <c r="E37" s="478">
        <v>31297.219297946962</v>
      </c>
      <c r="F37" s="478">
        <f t="shared" si="4"/>
        <v>34864.07003808218</v>
      </c>
      <c r="G37" s="478">
        <v>30293.376478304799</v>
      </c>
      <c r="H37" s="478">
        <v>1191571.8362408357</v>
      </c>
      <c r="I37" s="478">
        <f t="shared" si="5"/>
        <v>1221865.2127191406</v>
      </c>
      <c r="J37" s="303">
        <v>279399.33857671998</v>
      </c>
      <c r="K37" s="303">
        <f t="shared" si="6"/>
        <v>2190660.2213339428</v>
      </c>
      <c r="L37" s="551"/>
      <c r="M37" s="551"/>
      <c r="N37" s="551"/>
      <c r="O37" s="551"/>
    </row>
    <row r="38" spans="1:15" ht="12.6" customHeight="1">
      <c r="A38" s="399" t="s">
        <v>580</v>
      </c>
      <c r="B38" s="463">
        <v>664314.70000000007</v>
      </c>
      <c r="C38" s="483">
        <v>0</v>
      </c>
      <c r="D38" s="483">
        <v>3576.6834946514095</v>
      </c>
      <c r="E38" s="483">
        <v>31310.118040319478</v>
      </c>
      <c r="F38" s="483">
        <f t="shared" si="4"/>
        <v>34886.801534970888</v>
      </c>
      <c r="G38" s="483">
        <v>31868.631818318601</v>
      </c>
      <c r="H38" s="483">
        <v>1192276.189863733</v>
      </c>
      <c r="I38" s="483">
        <f t="shared" si="5"/>
        <v>1224144.8216820515</v>
      </c>
      <c r="J38" s="238">
        <v>278700.97678297776</v>
      </c>
      <c r="K38" s="238">
        <f t="shared" si="6"/>
        <v>2202047.3000000003</v>
      </c>
      <c r="L38" s="551"/>
      <c r="M38" s="551"/>
      <c r="N38" s="551"/>
      <c r="O38" s="551"/>
    </row>
    <row r="39" spans="1:15" ht="12.6" customHeight="1">
      <c r="A39" s="413" t="s">
        <v>581</v>
      </c>
      <c r="B39" s="482">
        <v>670177.10000000009</v>
      </c>
      <c r="C39" s="478">
        <v>0</v>
      </c>
      <c r="D39" s="478">
        <v>3582.1215574774401</v>
      </c>
      <c r="E39" s="478">
        <v>31068.143140868924</v>
      </c>
      <c r="F39" s="478">
        <f t="shared" si="4"/>
        <v>34650.264698346364</v>
      </c>
      <c r="G39" s="478">
        <v>31545.681405193598</v>
      </c>
      <c r="H39" s="478">
        <v>1197123.8717850349</v>
      </c>
      <c r="I39" s="478">
        <f t="shared" si="5"/>
        <v>1228669.5531902285</v>
      </c>
      <c r="J39" s="303">
        <v>282431.24592604931</v>
      </c>
      <c r="K39" s="303">
        <f t="shared" si="6"/>
        <v>2215928.1638146243</v>
      </c>
      <c r="L39" s="551"/>
      <c r="M39" s="551"/>
      <c r="N39" s="551"/>
      <c r="O39" s="551"/>
    </row>
    <row r="40" spans="1:15" ht="12.6" customHeight="1">
      <c r="A40" s="399" t="s">
        <v>573</v>
      </c>
      <c r="B40" s="463">
        <v>684224.86729904101</v>
      </c>
      <c r="C40" s="483">
        <v>0</v>
      </c>
      <c r="D40" s="483">
        <v>3587.1591852437405</v>
      </c>
      <c r="E40" s="483">
        <v>31206.781447982041</v>
      </c>
      <c r="F40" s="483">
        <f t="shared" si="4"/>
        <v>34793.940633225779</v>
      </c>
      <c r="G40" s="483">
        <v>32965.579953194298</v>
      </c>
      <c r="H40" s="483">
        <v>1205566.8486027468</v>
      </c>
      <c r="I40" s="483">
        <f t="shared" si="5"/>
        <v>1238532.4285559412</v>
      </c>
      <c r="J40" s="238">
        <v>286627.84447903215</v>
      </c>
      <c r="K40" s="238">
        <f t="shared" si="6"/>
        <v>2244179.08096724</v>
      </c>
      <c r="L40" s="551"/>
      <c r="M40" s="551"/>
      <c r="N40" s="551"/>
      <c r="O40" s="551"/>
    </row>
    <row r="41" spans="1:15" ht="12.6" customHeight="1">
      <c r="A41" s="413" t="s">
        <v>582</v>
      </c>
      <c r="B41" s="482">
        <v>715377.31602647202</v>
      </c>
      <c r="C41" s="478">
        <v>0</v>
      </c>
      <c r="D41" s="478">
        <v>3592.15919429823</v>
      </c>
      <c r="E41" s="478">
        <v>30700.262736985009</v>
      </c>
      <c r="F41" s="478">
        <f t="shared" si="4"/>
        <v>34292.421931283236</v>
      </c>
      <c r="G41" s="478">
        <v>32402.822771221799</v>
      </c>
      <c r="H41" s="478">
        <v>1214595.2800412457</v>
      </c>
      <c r="I41" s="478">
        <f t="shared" si="5"/>
        <v>1246998.1028124676</v>
      </c>
      <c r="J41" s="303">
        <v>288405.77025610802</v>
      </c>
      <c r="K41" s="303">
        <f t="shared" si="6"/>
        <v>2285073.6110263309</v>
      </c>
      <c r="L41" s="551"/>
      <c r="M41" s="551"/>
      <c r="N41" s="551"/>
      <c r="O41" s="551"/>
    </row>
    <row r="42" spans="1:15" ht="12.6" customHeight="1">
      <c r="A42" s="399" t="s">
        <v>583</v>
      </c>
      <c r="B42" s="463">
        <v>721924.90738762799</v>
      </c>
      <c r="C42" s="483">
        <v>0</v>
      </c>
      <c r="D42" s="483">
        <v>3600.80607442476</v>
      </c>
      <c r="E42" s="483">
        <v>29638.777547166224</v>
      </c>
      <c r="F42" s="483">
        <f t="shared" si="4"/>
        <v>33239.583621590988</v>
      </c>
      <c r="G42" s="483">
        <v>32961.179668339202</v>
      </c>
      <c r="H42" s="483">
        <v>1226795.991809065</v>
      </c>
      <c r="I42" s="238">
        <f t="shared" si="5"/>
        <v>1259757.1714774042</v>
      </c>
      <c r="J42" s="238">
        <v>288808.40549145191</v>
      </c>
      <c r="K42" s="238">
        <f t="shared" si="6"/>
        <v>2303730.0679780748</v>
      </c>
      <c r="L42" s="551"/>
      <c r="M42" s="551"/>
      <c r="N42" s="551"/>
      <c r="O42" s="551"/>
    </row>
    <row r="43" spans="1:15" ht="12.6" customHeight="1">
      <c r="A43" s="413" t="s">
        <v>574</v>
      </c>
      <c r="B43" s="482">
        <v>747846.852503762</v>
      </c>
      <c r="C43" s="478">
        <v>0</v>
      </c>
      <c r="D43" s="478">
        <v>3588.2760941767501</v>
      </c>
      <c r="E43" s="478">
        <v>30604.57865103833</v>
      </c>
      <c r="F43" s="303">
        <f t="shared" si="4"/>
        <v>34192.854745215081</v>
      </c>
      <c r="G43" s="478">
        <v>33362.150288469296</v>
      </c>
      <c r="H43" s="478">
        <v>1245158.7816230939</v>
      </c>
      <c r="I43" s="303">
        <f t="shared" si="5"/>
        <v>1278520.9319115633</v>
      </c>
      <c r="J43" s="303">
        <v>294103.7256432448</v>
      </c>
      <c r="K43" s="303">
        <f t="shared" si="6"/>
        <v>2354664.3648037855</v>
      </c>
      <c r="L43" s="551"/>
      <c r="M43" s="551"/>
      <c r="N43" s="551"/>
      <c r="O43" s="551"/>
    </row>
    <row r="44" spans="1:15" ht="12.6" customHeight="1">
      <c r="A44" s="936" t="s">
        <v>2514</v>
      </c>
      <c r="B44" s="463"/>
      <c r="C44" s="483"/>
      <c r="D44" s="483"/>
      <c r="E44" s="483"/>
      <c r="F44" s="238"/>
      <c r="G44" s="483"/>
      <c r="H44" s="483"/>
      <c r="I44" s="238"/>
      <c r="J44" s="238"/>
      <c r="K44" s="238"/>
      <c r="L44" s="551"/>
      <c r="M44" s="551"/>
      <c r="N44" s="551"/>
      <c r="O44" s="551"/>
    </row>
    <row r="45" spans="1:15" ht="12.6" customHeight="1">
      <c r="A45" s="413" t="s">
        <v>576</v>
      </c>
      <c r="B45" s="482">
        <v>749917.32000000007</v>
      </c>
      <c r="C45" s="478">
        <v>0</v>
      </c>
      <c r="D45" s="478">
        <v>3713.6875311875497</v>
      </c>
      <c r="E45" s="478">
        <v>29785.700799992475</v>
      </c>
      <c r="F45" s="478">
        <f t="shared" si="4"/>
        <v>33499.388331180024</v>
      </c>
      <c r="G45" s="478">
        <v>33289.928454311404</v>
      </c>
      <c r="H45" s="478">
        <v>1237108.1722655939</v>
      </c>
      <c r="I45" s="478">
        <f t="shared" si="5"/>
        <v>1270398.1007199052</v>
      </c>
      <c r="J45" s="478">
        <v>294126.86327698687</v>
      </c>
      <c r="K45" s="478">
        <f t="shared" si="6"/>
        <v>2347941.6723280721</v>
      </c>
      <c r="L45" s="551"/>
      <c r="M45" s="551"/>
      <c r="N45" s="551"/>
      <c r="O45" s="551"/>
    </row>
    <row r="46" spans="1:15" ht="12.6" customHeight="1">
      <c r="A46" s="399" t="s">
        <v>577</v>
      </c>
      <c r="B46" s="463">
        <v>741304.62595023506</v>
      </c>
      <c r="C46" s="483">
        <v>0</v>
      </c>
      <c r="D46" s="483">
        <v>3649.8199072733896</v>
      </c>
      <c r="E46" s="483">
        <v>30088.422279361614</v>
      </c>
      <c r="F46" s="483">
        <f t="shared" si="4"/>
        <v>33738.242186635005</v>
      </c>
      <c r="G46" s="483">
        <v>33674.441936745599</v>
      </c>
      <c r="H46" s="483">
        <v>1246128.1908982855</v>
      </c>
      <c r="I46" s="483">
        <f t="shared" si="5"/>
        <v>1279802.632835031</v>
      </c>
      <c r="J46" s="483">
        <v>294946.750215073</v>
      </c>
      <c r="K46" s="483">
        <f t="shared" si="6"/>
        <v>2349792.2511869743</v>
      </c>
      <c r="L46" s="551"/>
      <c r="M46" s="1714"/>
      <c r="N46" s="551"/>
      <c r="O46" s="551"/>
    </row>
    <row r="47" spans="1:15" ht="12.6" customHeight="1">
      <c r="A47" s="413" t="s">
        <v>571</v>
      </c>
      <c r="B47" s="482">
        <v>730228.59799513698</v>
      </c>
      <c r="C47" s="478">
        <v>0</v>
      </c>
      <c r="D47" s="478">
        <v>3645.4347070581703</v>
      </c>
      <c r="E47" s="478">
        <v>30261.246717213839</v>
      </c>
      <c r="F47" s="478">
        <f t="shared" si="4"/>
        <v>33906.681424272007</v>
      </c>
      <c r="G47" s="478">
        <v>34611.629079399798</v>
      </c>
      <c r="H47" s="478">
        <v>1261685.1522274225</v>
      </c>
      <c r="I47" s="478">
        <f t="shared" si="5"/>
        <v>1296296.7813068223</v>
      </c>
      <c r="J47" s="478">
        <v>297580.67870496202</v>
      </c>
      <c r="K47" s="478">
        <f t="shared" si="6"/>
        <v>2358012.7394311936</v>
      </c>
      <c r="L47" s="551"/>
      <c r="M47" s="551"/>
      <c r="N47" s="551"/>
      <c r="O47" s="551"/>
    </row>
    <row r="48" spans="1:15" ht="12.6" customHeight="1">
      <c r="A48" s="399" t="s">
        <v>578</v>
      </c>
      <c r="B48" s="463">
        <v>726991.41182724002</v>
      </c>
      <c r="C48" s="483">
        <v>0</v>
      </c>
      <c r="D48" s="483">
        <v>3587.1713437734002</v>
      </c>
      <c r="E48" s="483">
        <v>31147.555847445867</v>
      </c>
      <c r="F48" s="483">
        <f t="shared" si="4"/>
        <v>34734.727191219266</v>
      </c>
      <c r="G48" s="483">
        <v>34874.046316645603</v>
      </c>
      <c r="H48" s="483">
        <v>1273085.6240741035</v>
      </c>
      <c r="I48" s="483">
        <f t="shared" si="5"/>
        <v>1307959.6703907491</v>
      </c>
      <c r="J48" s="483">
        <v>300807.37931096705</v>
      </c>
      <c r="K48" s="483">
        <f t="shared" si="6"/>
        <v>2370493.1887201755</v>
      </c>
      <c r="L48" s="551"/>
      <c r="M48" s="551"/>
      <c r="N48" s="551"/>
      <c r="O48" s="551"/>
    </row>
    <row r="49" spans="1:15" ht="12.6" customHeight="1">
      <c r="A49" s="413" t="s">
        <v>579</v>
      </c>
      <c r="B49" s="482">
        <v>721287.10344529501</v>
      </c>
      <c r="C49" s="478">
        <v>0</v>
      </c>
      <c r="D49" s="478">
        <v>3589.1334593099295</v>
      </c>
      <c r="E49" s="478">
        <v>30729.27334071758</v>
      </c>
      <c r="F49" s="478">
        <f t="shared" si="4"/>
        <v>34318.406800027507</v>
      </c>
      <c r="G49" s="478">
        <v>35750.1636428446</v>
      </c>
      <c r="H49" s="478">
        <v>1289347.9860277299</v>
      </c>
      <c r="I49" s="478">
        <f t="shared" si="5"/>
        <v>1325098.1496705746</v>
      </c>
      <c r="J49" s="478">
        <v>303091.46739513561</v>
      </c>
      <c r="K49" s="478">
        <f t="shared" si="6"/>
        <v>2383795.1273110327</v>
      </c>
      <c r="L49" s="551"/>
      <c r="M49" s="551"/>
      <c r="N49" s="551"/>
      <c r="O49" s="551"/>
    </row>
    <row r="50" spans="1:15" ht="12.6" customHeight="1" thickBot="1">
      <c r="A50" s="1270" t="s">
        <v>572</v>
      </c>
      <c r="B50" s="1759">
        <v>707202.36131322512</v>
      </c>
      <c r="C50" s="1424">
        <v>0</v>
      </c>
      <c r="D50" s="1424">
        <v>3584.6410179423601</v>
      </c>
      <c r="E50" s="1424">
        <v>32105.064475072755</v>
      </c>
      <c r="F50" s="1424">
        <f t="shared" si="4"/>
        <v>35689.705493015113</v>
      </c>
      <c r="G50" s="1424">
        <v>36925.110938513593</v>
      </c>
      <c r="H50" s="1424">
        <v>1309499.1285177036</v>
      </c>
      <c r="I50" s="1424">
        <f t="shared" si="5"/>
        <v>1346424.2394562173</v>
      </c>
      <c r="J50" s="1424">
        <v>306597.27055329678</v>
      </c>
      <c r="K50" s="1424">
        <f t="shared" si="6"/>
        <v>2395913.5768157542</v>
      </c>
      <c r="L50" s="551"/>
      <c r="M50" s="551"/>
      <c r="N50" s="551"/>
      <c r="O50" s="551"/>
    </row>
    <row r="51" spans="1:15" s="499" customFormat="1" ht="11.25" customHeight="1">
      <c r="A51" s="552" t="s">
        <v>219</v>
      </c>
      <c r="B51" s="274" t="s">
        <v>1462</v>
      </c>
      <c r="C51" s="274"/>
      <c r="D51" s="274"/>
      <c r="E51" s="274"/>
      <c r="F51" s="274"/>
      <c r="G51" s="553" t="s">
        <v>1300</v>
      </c>
      <c r="H51" s="554"/>
      <c r="I51" s="554"/>
      <c r="J51" s="554"/>
      <c r="K51" s="554"/>
      <c r="L51" s="551"/>
      <c r="M51" s="556"/>
      <c r="N51" s="551"/>
    </row>
    <row r="52" spans="1:15" s="629" customFormat="1" ht="11.25" customHeight="1">
      <c r="A52" s="230"/>
      <c r="B52" s="275" t="s">
        <v>1441</v>
      </c>
      <c r="C52" s="275"/>
      <c r="D52" s="275"/>
      <c r="E52" s="1315" t="s">
        <v>1390</v>
      </c>
      <c r="F52" s="1053"/>
      <c r="G52" s="1053"/>
      <c r="H52" s="1053"/>
      <c r="I52" s="1053"/>
      <c r="J52" s="1053"/>
      <c r="K52" s="1053"/>
      <c r="L52" s="551"/>
      <c r="M52" s="751"/>
    </row>
    <row r="53" spans="1:15" s="499" customFormat="1" ht="11.25" customHeight="1">
      <c r="A53" s="551"/>
      <c r="B53" s="551"/>
      <c r="C53" s="551"/>
      <c r="D53" s="1053"/>
      <c r="E53" s="551"/>
      <c r="F53" s="1053"/>
      <c r="G53" s="1053"/>
      <c r="H53" s="1053"/>
      <c r="I53" s="1053"/>
      <c r="J53" s="1053"/>
      <c r="K53" s="1053"/>
      <c r="L53" s="551"/>
      <c r="M53" s="751"/>
    </row>
    <row r="54" spans="1:15" s="499" customFormat="1" ht="11.25" customHeight="1">
      <c r="A54" s="551"/>
      <c r="B54" s="551"/>
      <c r="C54" s="551"/>
      <c r="D54" s="1053"/>
      <c r="E54" s="551"/>
      <c r="F54" s="1053"/>
      <c r="G54" s="1053"/>
      <c r="H54" s="1053"/>
      <c r="I54" s="1053"/>
      <c r="J54" s="1053"/>
      <c r="K54" s="1053"/>
      <c r="L54" s="551"/>
      <c r="M54" s="751"/>
    </row>
    <row r="55" spans="1:15" s="499" customFormat="1" ht="11.25" customHeight="1">
      <c r="A55" s="551"/>
      <c r="B55" s="551"/>
      <c r="C55" s="551"/>
      <c r="D55" s="1053"/>
      <c r="E55" s="551"/>
      <c r="F55" s="1053"/>
      <c r="G55" s="1053"/>
      <c r="H55" s="1053"/>
      <c r="I55" s="1053"/>
      <c r="J55" s="1053"/>
      <c r="K55" s="1053"/>
      <c r="L55" s="551"/>
      <c r="M55" s="751"/>
    </row>
    <row r="56" spans="1:15" s="499" customFormat="1" ht="11.25" customHeight="1">
      <c r="A56" s="551"/>
      <c r="B56" s="551"/>
      <c r="C56" s="551"/>
      <c r="D56" s="1053"/>
      <c r="E56" s="551"/>
      <c r="F56" s="1053"/>
      <c r="G56" s="1053"/>
      <c r="H56" s="1053"/>
      <c r="I56" s="1053"/>
      <c r="J56" s="238"/>
      <c r="K56" s="1053"/>
      <c r="L56" s="551"/>
      <c r="M56" s="751"/>
    </row>
    <row r="57" spans="1:15" s="499" customFormat="1" ht="11.25" customHeight="1">
      <c r="A57" s="551"/>
      <c r="B57" s="551"/>
      <c r="C57" s="551"/>
      <c r="D57" s="1053"/>
      <c r="E57" s="551"/>
      <c r="F57" s="1053"/>
      <c r="G57" s="556"/>
      <c r="H57" s="1053"/>
      <c r="I57" s="1053"/>
      <c r="J57" s="1053"/>
      <c r="K57" s="1053"/>
      <c r="L57" s="551"/>
      <c r="M57" s="751"/>
    </row>
    <row r="58" spans="1:15" s="499" customFormat="1" ht="11.25" customHeight="1">
      <c r="A58" s="551"/>
      <c r="B58" s="551"/>
      <c r="C58" s="551"/>
      <c r="D58" s="1053"/>
      <c r="E58" s="551"/>
      <c r="F58" s="1053"/>
      <c r="G58" s="556"/>
      <c r="H58" s="1053"/>
      <c r="I58" s="1053"/>
      <c r="J58" s="1053"/>
      <c r="K58" s="1053"/>
      <c r="L58" s="551"/>
    </row>
    <row r="59" spans="1:15" s="499" customFormat="1" ht="11.25" customHeight="1">
      <c r="A59" s="551"/>
      <c r="B59" s="551"/>
      <c r="C59" s="551"/>
      <c r="D59" s="1053"/>
      <c r="E59" s="551"/>
      <c r="F59" s="1053"/>
      <c r="G59" s="556"/>
      <c r="H59" s="1053"/>
      <c r="I59" s="1053"/>
      <c r="J59" s="556"/>
      <c r="K59" s="1053"/>
      <c r="L59" s="551"/>
    </row>
    <row r="60" spans="1:15" s="499" customFormat="1" ht="11.25" customHeight="1">
      <c r="A60" s="551"/>
      <c r="B60" s="551"/>
      <c r="C60" s="551"/>
      <c r="D60" s="1053"/>
      <c r="E60" s="551"/>
      <c r="F60" s="1053"/>
      <c r="G60" s="556"/>
      <c r="H60" s="1053"/>
      <c r="I60" s="1053"/>
      <c r="J60" s="556"/>
      <c r="K60" s="1053"/>
      <c r="L60" s="551"/>
    </row>
    <row r="61" spans="1:15" ht="11.25" customHeight="1">
      <c r="A61" s="551"/>
      <c r="B61" s="551"/>
      <c r="C61" s="551"/>
      <c r="D61" s="556"/>
      <c r="E61" s="551"/>
      <c r="F61" s="1053"/>
      <c r="G61" s="556"/>
      <c r="H61" s="1053"/>
      <c r="I61" s="1053"/>
      <c r="J61" s="556"/>
      <c r="K61" s="1053"/>
      <c r="L61" s="551"/>
    </row>
    <row r="62" spans="1:15" ht="11.25" customHeight="1">
      <c r="A62" s="551"/>
      <c r="B62" s="551"/>
      <c r="C62" s="551"/>
      <c r="D62" s="556"/>
      <c r="E62" s="551"/>
      <c r="F62" s="1053"/>
      <c r="G62" s="556"/>
      <c r="H62" s="1053"/>
      <c r="I62" s="1053"/>
      <c r="J62" s="556"/>
      <c r="K62" s="1053"/>
      <c r="L62" s="551"/>
    </row>
    <row r="63" spans="1:15" ht="11.25" customHeight="1">
      <c r="A63" s="551"/>
      <c r="B63" s="551"/>
      <c r="C63" s="551"/>
      <c r="D63" s="556"/>
      <c r="E63" s="551"/>
      <c r="F63" s="1053"/>
      <c r="G63" s="556"/>
      <c r="H63" s="556"/>
      <c r="I63" s="1053"/>
      <c r="J63" s="556"/>
      <c r="K63" s="1053"/>
      <c r="L63" s="551"/>
    </row>
    <row r="64" spans="1:15" ht="11.25" customHeight="1">
      <c r="A64" s="551"/>
      <c r="B64" s="551"/>
      <c r="C64" s="551"/>
      <c r="D64" s="556"/>
      <c r="E64" s="556"/>
      <c r="F64" s="551"/>
      <c r="G64" s="556"/>
      <c r="H64" s="556"/>
      <c r="I64" s="551"/>
      <c r="J64" s="556"/>
      <c r="L64" s="556"/>
    </row>
    <row r="65" spans="2:12" ht="11.25" customHeight="1">
      <c r="B65" s="551"/>
      <c r="C65" s="551"/>
      <c r="D65" s="556"/>
      <c r="E65" s="556"/>
      <c r="F65" s="551"/>
      <c r="G65" s="556"/>
      <c r="H65" s="556"/>
      <c r="I65" s="551"/>
      <c r="J65" s="556"/>
      <c r="L65" s="556"/>
    </row>
    <row r="66" spans="2:12" ht="11.25" customHeight="1">
      <c r="B66" s="551"/>
      <c r="C66" s="551"/>
      <c r="D66" s="556"/>
      <c r="E66" s="556"/>
      <c r="G66" s="556"/>
      <c r="H66" s="556"/>
      <c r="J66" s="556"/>
      <c r="L66" s="556"/>
    </row>
    <row r="67" spans="2:12" ht="11.25" customHeight="1">
      <c r="B67" s="551"/>
      <c r="C67" s="551"/>
      <c r="D67" s="556"/>
      <c r="E67" s="556"/>
      <c r="G67" s="556"/>
      <c r="H67" s="556"/>
      <c r="J67" s="556"/>
      <c r="L67" s="556"/>
    </row>
    <row r="68" spans="2:12" ht="11.25" customHeight="1">
      <c r="B68" s="551"/>
      <c r="C68" s="556"/>
      <c r="D68" s="556"/>
      <c r="E68" s="556"/>
      <c r="G68" s="556"/>
      <c r="H68" s="556"/>
      <c r="J68" s="556"/>
      <c r="L68" s="556"/>
    </row>
    <row r="69" spans="2:12" ht="11.25" customHeight="1">
      <c r="B69" s="551"/>
      <c r="C69" s="556"/>
      <c r="D69" s="556"/>
      <c r="E69" s="556"/>
      <c r="G69" s="556"/>
      <c r="H69" s="556"/>
      <c r="J69" s="556"/>
      <c r="L69" s="556"/>
    </row>
    <row r="70" spans="2:12" ht="11.25" customHeight="1">
      <c r="B70" s="551"/>
      <c r="C70" s="556"/>
      <c r="D70" s="556"/>
      <c r="E70" s="556"/>
      <c r="G70" s="556"/>
      <c r="H70" s="556"/>
      <c r="J70" s="556"/>
      <c r="L70" s="556"/>
    </row>
    <row r="71" spans="2:12" ht="11.25" customHeight="1">
      <c r="B71" s="551"/>
      <c r="C71" s="556"/>
      <c r="D71" s="556"/>
      <c r="E71" s="556"/>
      <c r="G71" s="556"/>
      <c r="H71" s="556"/>
      <c r="J71" s="556"/>
      <c r="L71" s="556"/>
    </row>
    <row r="72" spans="2:12" ht="11.25" customHeight="1">
      <c r="B72" s="551"/>
      <c r="C72" s="556"/>
      <c r="D72" s="556"/>
      <c r="E72" s="556"/>
      <c r="G72" s="556"/>
      <c r="H72" s="556"/>
      <c r="J72" s="556"/>
    </row>
    <row r="73" spans="2:12" ht="11.25" customHeight="1">
      <c r="B73" s="551"/>
      <c r="C73" s="556"/>
      <c r="D73" s="556"/>
      <c r="E73" s="556"/>
      <c r="G73" s="556"/>
      <c r="H73" s="556"/>
    </row>
    <row r="74" spans="2:12" ht="11.25" customHeight="1">
      <c r="B74" s="551"/>
      <c r="C74" s="551"/>
      <c r="D74" s="551"/>
      <c r="E74" s="556"/>
      <c r="F74" s="551"/>
      <c r="G74" s="551"/>
      <c r="H74" s="551"/>
      <c r="I74" s="551"/>
      <c r="J74" s="551"/>
      <c r="K74" s="551"/>
    </row>
    <row r="75" spans="2:12" ht="11.25" customHeight="1">
      <c r="B75" s="551"/>
      <c r="C75" s="551"/>
      <c r="D75" s="551"/>
      <c r="E75" s="551"/>
      <c r="F75" s="551"/>
      <c r="G75" s="551"/>
      <c r="H75" s="551"/>
      <c r="I75" s="551"/>
      <c r="J75" s="551"/>
      <c r="K75" s="551"/>
    </row>
    <row r="76" spans="2:12" ht="11.25" customHeight="1">
      <c r="B76" s="551"/>
      <c r="C76" s="551"/>
      <c r="D76" s="551"/>
      <c r="E76" s="551"/>
      <c r="F76" s="551"/>
      <c r="G76" s="551"/>
      <c r="H76" s="551"/>
      <c r="I76" s="551"/>
      <c r="J76" s="551"/>
      <c r="K76" s="551"/>
    </row>
    <row r="77" spans="2:12" ht="11.25" customHeight="1">
      <c r="B77" s="551"/>
      <c r="C77" s="551"/>
      <c r="D77" s="551"/>
      <c r="E77" s="551"/>
      <c r="F77" s="551"/>
      <c r="G77" s="551"/>
      <c r="H77" s="551"/>
      <c r="I77" s="551"/>
      <c r="J77" s="551"/>
      <c r="K77" s="551"/>
    </row>
    <row r="78" spans="2:12" ht="11.25" customHeight="1">
      <c r="B78" s="551"/>
      <c r="C78" s="551"/>
      <c r="D78" s="551"/>
      <c r="E78" s="551"/>
      <c r="F78" s="551"/>
      <c r="G78" s="551"/>
      <c r="H78" s="551"/>
      <c r="I78" s="551"/>
      <c r="J78" s="551"/>
      <c r="K78" s="551"/>
    </row>
    <row r="79" spans="2:12" ht="11.25" customHeight="1">
      <c r="B79" s="551"/>
      <c r="C79" s="551"/>
      <c r="D79" s="551"/>
      <c r="E79" s="551"/>
      <c r="F79" s="551"/>
      <c r="G79" s="551"/>
      <c r="H79" s="551"/>
      <c r="I79" s="551"/>
      <c r="J79" s="551"/>
      <c r="K79" s="551"/>
    </row>
    <row r="80" spans="2:12" ht="11.25" customHeight="1">
      <c r="B80" s="551"/>
      <c r="C80" s="551"/>
      <c r="D80" s="551"/>
      <c r="E80" s="551"/>
      <c r="F80" s="551"/>
      <c r="G80" s="551"/>
      <c r="H80" s="551"/>
      <c r="I80" s="551"/>
      <c r="J80" s="551"/>
      <c r="K80" s="551"/>
    </row>
    <row r="81" spans="2:11" ht="11.25" customHeight="1">
      <c r="B81" s="551"/>
      <c r="C81" s="551"/>
      <c r="D81" s="551"/>
      <c r="E81" s="551"/>
      <c r="F81" s="551"/>
      <c r="G81" s="551"/>
      <c r="H81" s="551"/>
      <c r="I81" s="551"/>
      <c r="J81" s="551"/>
      <c r="K81" s="551"/>
    </row>
    <row r="82" spans="2:11" ht="11.25" customHeight="1">
      <c r="B82" s="551"/>
      <c r="C82" s="551"/>
      <c r="D82" s="551"/>
      <c r="E82" s="551"/>
      <c r="F82" s="551"/>
      <c r="G82" s="551"/>
      <c r="H82" s="551"/>
      <c r="I82" s="551"/>
      <c r="J82" s="551"/>
      <c r="K82" s="551"/>
    </row>
    <row r="83" spans="2:11" ht="11.25" customHeight="1">
      <c r="B83" s="551"/>
      <c r="C83" s="551"/>
      <c r="D83" s="551"/>
      <c r="E83" s="551"/>
      <c r="F83" s="551"/>
      <c r="G83" s="551"/>
      <c r="H83" s="551"/>
      <c r="I83" s="551"/>
      <c r="J83" s="551"/>
      <c r="K83" s="551"/>
    </row>
    <row r="84" spans="2:11" ht="11.25" customHeight="1">
      <c r="B84" s="551"/>
      <c r="C84" s="551"/>
      <c r="D84" s="551"/>
      <c r="E84" s="551"/>
      <c r="F84" s="551"/>
      <c r="G84" s="551"/>
      <c r="H84" s="551"/>
      <c r="I84" s="551"/>
      <c r="J84" s="551"/>
      <c r="K84" s="551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7"/>
  <sheetViews>
    <sheetView zoomScale="120" zoomScaleNormal="120" workbookViewId="0">
      <pane xSplit="2" ySplit="1" topLeftCell="AY26" activePane="bottomRight" state="frozen"/>
      <selection activeCell="F85" sqref="F85"/>
      <selection pane="topRight" activeCell="F85" sqref="F85"/>
      <selection pane="bottomLeft" activeCell="F85" sqref="F85"/>
      <selection pane="bottomRight" activeCell="AX33" sqref="AX33"/>
    </sheetView>
  </sheetViews>
  <sheetFormatPr defaultRowHeight="12.75"/>
  <cols>
    <col min="1" max="1" width="7.85546875" style="1257" customWidth="1"/>
    <col min="2" max="2" width="7.28515625" style="1257" customWidth="1"/>
    <col min="3" max="3" width="8" style="1257" customWidth="1"/>
    <col min="4" max="4" width="5.85546875" style="1257" customWidth="1"/>
    <col min="5" max="5" width="6" style="1257" customWidth="1"/>
    <col min="6" max="6" width="7.42578125" style="1257" customWidth="1"/>
    <col min="7" max="7" width="7.7109375" style="1257" customWidth="1"/>
    <col min="8" max="8" width="7.5703125" style="1257" customWidth="1"/>
    <col min="9" max="9" width="6.85546875" style="1257" customWidth="1"/>
    <col min="10" max="10" width="6.7109375" style="1257" customWidth="1"/>
    <col min="11" max="11" width="6" style="1257" customWidth="1"/>
    <col min="12" max="12" width="5.140625" style="1257" customWidth="1"/>
    <col min="13" max="13" width="4.28515625" style="1257" customWidth="1"/>
    <col min="14" max="14" width="7.5703125" style="1257" customWidth="1"/>
    <col min="15" max="15" width="6.140625" style="1257" customWidth="1"/>
    <col min="16" max="16" width="6.85546875" style="1257" customWidth="1"/>
    <col min="17" max="17" width="5.42578125" style="1257" customWidth="1"/>
    <col min="18" max="18" width="6.42578125" style="1257" customWidth="1"/>
    <col min="19" max="19" width="5.140625" style="1257" customWidth="1"/>
    <col min="20" max="20" width="6.42578125" style="1257" customWidth="1"/>
    <col min="21" max="21" width="4.5703125" style="1257" customWidth="1"/>
    <col min="22" max="22" width="7.28515625" style="1257" customWidth="1"/>
    <col min="23" max="23" width="6.28515625" style="1257" customWidth="1"/>
    <col min="24" max="24" width="5.7109375" style="1257" customWidth="1"/>
    <col min="25" max="25" width="7.5703125" style="1257" customWidth="1"/>
    <col min="26" max="26" width="8.42578125" style="1257" customWidth="1"/>
    <col min="27" max="27" width="6.85546875" style="1257" customWidth="1"/>
    <col min="28" max="28" width="5" style="1257" customWidth="1"/>
    <col min="29" max="29" width="5.140625" style="1257" customWidth="1"/>
    <col min="30" max="30" width="7.5703125" style="1257" customWidth="1"/>
    <col min="31" max="31" width="5.85546875" style="1257" customWidth="1"/>
    <col min="32" max="32" width="5.5703125" style="1257" customWidth="1"/>
    <col min="33" max="33" width="4.7109375" style="1257" customWidth="1"/>
    <col min="34" max="34" width="7.28515625" style="1257" customWidth="1"/>
    <col min="35" max="35" width="5.140625" style="1257" customWidth="1"/>
    <col min="36" max="36" width="5.85546875" style="1257" customWidth="1"/>
    <col min="37" max="37" width="4.140625" style="1257" customWidth="1"/>
    <col min="38" max="38" width="8.28515625" style="1257" customWidth="1"/>
    <col min="39" max="39" width="7.7109375" style="1257" customWidth="1"/>
    <col min="40" max="40" width="6.5703125" style="1257" customWidth="1"/>
    <col min="41" max="41" width="5.28515625" style="1257" customWidth="1"/>
    <col min="42" max="42" width="6.5703125" style="1257" customWidth="1"/>
    <col min="43" max="43" width="5.140625" style="1257" customWidth="1"/>
    <col min="44" max="45" width="6.7109375" style="1257" customWidth="1"/>
    <col min="46" max="46" width="6.85546875" style="1257" customWidth="1"/>
    <col min="47" max="47" width="6.7109375" style="1257" customWidth="1"/>
    <col min="48" max="48" width="6.42578125" style="1257" customWidth="1"/>
    <col min="49" max="49" width="5.28515625" style="1257" customWidth="1"/>
    <col min="50" max="50" width="7.140625" style="1257" customWidth="1"/>
    <col min="51" max="51" width="6.5703125" style="1257" customWidth="1"/>
    <col min="52" max="52" width="5.140625" style="1257" customWidth="1"/>
    <col min="53" max="53" width="8.140625" style="1257" customWidth="1"/>
    <col min="54" max="54" width="6.85546875" style="1257" customWidth="1"/>
    <col min="55" max="55" width="6.42578125" style="190" customWidth="1"/>
    <col min="56" max="56" width="6.85546875" style="1257" customWidth="1"/>
    <col min="57" max="57" width="6" style="1257" customWidth="1"/>
    <col min="58" max="58" width="7.28515625" style="1257" customWidth="1"/>
    <col min="59" max="59" width="6.42578125" style="1257" customWidth="1"/>
    <col min="60" max="60" width="7.28515625" style="1257" customWidth="1"/>
    <col min="61" max="61" width="6.85546875" style="1257" customWidth="1"/>
    <col min="62" max="62" width="8.140625" style="1257" customWidth="1"/>
    <col min="63" max="63" width="10.42578125" style="1257" customWidth="1"/>
    <col min="64" max="64" width="7.42578125" style="1257" customWidth="1"/>
    <col min="65" max="65" width="8.28515625" style="1257" customWidth="1"/>
    <col min="66" max="66" width="7" style="1257" customWidth="1"/>
    <col min="67" max="67" width="8.28515625" style="1257" customWidth="1"/>
    <col min="68" max="69" width="7.5703125" style="1257" customWidth="1"/>
    <col min="70" max="70" width="6.28515625" style="1257" customWidth="1"/>
    <col min="71" max="71" width="7.28515625" style="1257" customWidth="1"/>
    <col min="72" max="72" width="9.140625" style="1257"/>
    <col min="73" max="75" width="11.85546875" style="1257" bestFit="1" customWidth="1"/>
    <col min="76" max="16384" width="9.140625" style="1257"/>
  </cols>
  <sheetData>
    <row r="1" spans="1:75" ht="15.75" customHeight="1">
      <c r="A1" s="592"/>
      <c r="B1" s="592"/>
      <c r="C1" s="592"/>
      <c r="D1" s="592"/>
      <c r="E1" s="592"/>
      <c r="F1" s="2055" t="s">
        <v>2208</v>
      </c>
      <c r="G1" s="2055"/>
      <c r="H1" s="2055"/>
      <c r="I1" s="2055"/>
      <c r="J1" s="2055"/>
      <c r="K1" s="2055"/>
      <c r="L1" s="2055"/>
      <c r="M1" s="2055"/>
      <c r="N1" s="2055"/>
      <c r="O1" s="2055"/>
      <c r="P1" s="2055"/>
      <c r="Q1" s="2055"/>
      <c r="R1" s="593"/>
      <c r="S1" s="592"/>
      <c r="T1" s="592"/>
      <c r="U1" s="2056" t="s">
        <v>1644</v>
      </c>
      <c r="V1" s="2056"/>
      <c r="W1" s="2056"/>
      <c r="X1" s="2056"/>
      <c r="Y1" s="620"/>
      <c r="Z1" s="592"/>
      <c r="AA1" s="592"/>
      <c r="AB1" s="592"/>
      <c r="AC1" s="592"/>
      <c r="AD1" s="592"/>
      <c r="AE1" s="592"/>
      <c r="AF1" s="2055" t="s">
        <v>1676</v>
      </c>
      <c r="AG1" s="2055"/>
      <c r="AH1" s="2055"/>
      <c r="AI1" s="2055"/>
      <c r="AJ1" s="2055"/>
      <c r="AK1" s="2055"/>
      <c r="AL1" s="2055"/>
      <c r="AM1" s="2055"/>
      <c r="AN1" s="2055"/>
      <c r="AO1" s="2055"/>
      <c r="AP1" s="2055"/>
      <c r="AQ1" s="2055"/>
      <c r="AR1" s="592"/>
      <c r="AS1" s="2057" t="s">
        <v>2194</v>
      </c>
      <c r="AT1" s="2057"/>
      <c r="AU1" s="2057"/>
      <c r="AV1" s="2057"/>
      <c r="AW1" s="2057"/>
      <c r="AX1" s="1553"/>
      <c r="AY1" s="592"/>
      <c r="AZ1" s="592"/>
      <c r="BA1" s="592"/>
      <c r="BB1" s="592"/>
      <c r="BC1" s="593"/>
      <c r="BD1" s="593"/>
      <c r="BE1" s="2055" t="s">
        <v>2195</v>
      </c>
      <c r="BF1" s="2055"/>
      <c r="BG1" s="2055"/>
      <c r="BH1" s="2055"/>
      <c r="BI1" s="2055"/>
      <c r="BJ1" s="2055"/>
      <c r="BK1" s="2055"/>
      <c r="BL1" s="2055"/>
      <c r="BM1" s="2055"/>
      <c r="BN1" s="2055"/>
      <c r="BO1" s="593"/>
      <c r="BP1" s="2057" t="s">
        <v>2196</v>
      </c>
      <c r="BQ1" s="2057"/>
      <c r="BR1" s="2057"/>
      <c r="BS1" s="2057"/>
      <c r="BT1" s="1553"/>
      <c r="BU1" s="1553"/>
    </row>
    <row r="2" spans="1:75" ht="12.75" customHeight="1">
      <c r="A2" s="594"/>
      <c r="B2" s="594"/>
      <c r="C2" s="594"/>
      <c r="D2" s="594"/>
      <c r="E2" s="594"/>
      <c r="F2" s="594"/>
      <c r="G2" s="594"/>
      <c r="H2" s="594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592"/>
      <c r="T2" s="592"/>
      <c r="U2" s="2136" t="s">
        <v>1653</v>
      </c>
      <c r="V2" s="2136"/>
      <c r="W2" s="2136"/>
      <c r="X2" s="2136"/>
      <c r="Y2" s="620"/>
      <c r="Z2" s="592"/>
      <c r="AA2" s="592"/>
      <c r="AB2" s="592"/>
      <c r="AC2" s="592"/>
      <c r="AD2" s="592"/>
      <c r="AE2" s="592"/>
      <c r="AF2" s="592"/>
      <c r="AG2" s="1551"/>
      <c r="AH2" s="1551"/>
      <c r="AI2" s="1551"/>
      <c r="AJ2" s="1551"/>
      <c r="AK2" s="1551"/>
      <c r="AL2" s="1551"/>
      <c r="AM2" s="1551"/>
      <c r="AN2" s="1551"/>
      <c r="AO2" s="592"/>
      <c r="AP2" s="592"/>
      <c r="AQ2" s="592"/>
      <c r="AR2" s="592"/>
      <c r="AS2" s="2136" t="s">
        <v>2197</v>
      </c>
      <c r="AT2" s="2136"/>
      <c r="AU2" s="2136"/>
      <c r="AV2" s="2136"/>
      <c r="AW2" s="2136"/>
      <c r="AX2" s="202"/>
      <c r="AY2" s="592"/>
      <c r="AZ2" s="592"/>
      <c r="BA2" s="592"/>
      <c r="BB2" s="1551"/>
      <c r="BC2" s="1551"/>
      <c r="BD2" s="1551"/>
      <c r="BE2" s="1551"/>
      <c r="BF2" s="1551"/>
      <c r="BG2" s="1551"/>
      <c r="BH2" s="1551"/>
      <c r="BI2" s="592"/>
      <c r="BJ2" s="592"/>
      <c r="BK2" s="592"/>
      <c r="BL2" s="1551"/>
      <c r="BM2" s="1551"/>
      <c r="BN2" s="1551"/>
      <c r="BO2" s="1551"/>
      <c r="BP2" s="1551"/>
      <c r="BQ2" s="2137" t="s">
        <v>24</v>
      </c>
      <c r="BR2" s="2138"/>
      <c r="BS2" s="2138"/>
      <c r="BT2" s="202"/>
      <c r="BU2" s="202"/>
    </row>
    <row r="3" spans="1:75" ht="10.5" customHeight="1">
      <c r="A3" s="2112" t="s">
        <v>498</v>
      </c>
      <c r="B3" s="2066" t="s">
        <v>1154</v>
      </c>
      <c r="C3" s="2067"/>
      <c r="D3" s="2067"/>
      <c r="E3" s="2067"/>
      <c r="F3" s="2067"/>
      <c r="G3" s="2068"/>
      <c r="H3" s="2115" t="s">
        <v>2381</v>
      </c>
      <c r="I3" s="2116"/>
      <c r="J3" s="2121" t="s">
        <v>2198</v>
      </c>
      <c r="K3" s="2122"/>
      <c r="L3" s="2122"/>
      <c r="M3" s="2122"/>
      <c r="N3" s="2122"/>
      <c r="O3" s="2122"/>
      <c r="P3" s="2122"/>
      <c r="Q3" s="2122"/>
      <c r="R3" s="2122"/>
      <c r="S3" s="2122"/>
      <c r="T3" s="2122"/>
      <c r="U3" s="2122"/>
      <c r="V3" s="2122"/>
      <c r="W3" s="2122"/>
      <c r="X3" s="2123"/>
      <c r="Y3" s="2124" t="s">
        <v>2199</v>
      </c>
      <c r="Z3" s="1552"/>
      <c r="AA3" s="1557"/>
      <c r="AB3" s="1557"/>
      <c r="AC3" s="1557"/>
      <c r="AD3" s="1557"/>
      <c r="AE3" s="1557"/>
      <c r="AF3" s="1557"/>
      <c r="AG3" s="1557"/>
      <c r="AH3" s="1557"/>
      <c r="AI3" s="1557"/>
      <c r="AJ3" s="1557" t="s">
        <v>2200</v>
      </c>
      <c r="AK3" s="1557"/>
      <c r="AL3" s="1557" t="s">
        <v>2201</v>
      </c>
      <c r="AM3" s="1557"/>
      <c r="AN3" s="1557"/>
      <c r="AO3" s="1557"/>
      <c r="AP3" s="1557"/>
      <c r="AQ3" s="1557"/>
      <c r="AR3" s="1557"/>
      <c r="AS3" s="1557"/>
      <c r="AT3" s="1557"/>
      <c r="AU3" s="2087"/>
      <c r="AV3" s="2087"/>
      <c r="AW3" s="2088"/>
      <c r="AX3" s="2072" t="s">
        <v>498</v>
      </c>
      <c r="AY3" s="2075" t="s">
        <v>2202</v>
      </c>
      <c r="AZ3" s="2075"/>
      <c r="BA3" s="2075"/>
      <c r="BB3" s="2075"/>
      <c r="BC3" s="2066" t="s">
        <v>1230</v>
      </c>
      <c r="BD3" s="2067"/>
      <c r="BE3" s="2067"/>
      <c r="BF3" s="2068"/>
      <c r="BG3" s="2066" t="s">
        <v>1183</v>
      </c>
      <c r="BH3" s="2076"/>
      <c r="BI3" s="2077"/>
      <c r="BJ3" s="2066" t="s">
        <v>2572</v>
      </c>
      <c r="BK3" s="2067"/>
      <c r="BL3" s="2067"/>
      <c r="BM3" s="2068"/>
      <c r="BN3" s="2066" t="s">
        <v>1155</v>
      </c>
      <c r="BO3" s="2067"/>
      <c r="BP3" s="2067"/>
      <c r="BQ3" s="2068"/>
      <c r="BR3" s="2083" t="s">
        <v>2203</v>
      </c>
      <c r="BS3" s="2083" t="s">
        <v>2204</v>
      </c>
    </row>
    <row r="4" spans="1:75" ht="9.75" customHeight="1">
      <c r="A4" s="2113"/>
      <c r="B4" s="2069"/>
      <c r="C4" s="2070"/>
      <c r="D4" s="2070"/>
      <c r="E4" s="2070"/>
      <c r="F4" s="2070"/>
      <c r="G4" s="2071"/>
      <c r="H4" s="2117"/>
      <c r="I4" s="2118"/>
      <c r="J4" s="2086" t="s">
        <v>1156</v>
      </c>
      <c r="K4" s="2087"/>
      <c r="L4" s="2087"/>
      <c r="M4" s="2087"/>
      <c r="N4" s="2087"/>
      <c r="O4" s="2087"/>
      <c r="P4" s="2087"/>
      <c r="Q4" s="2087"/>
      <c r="R4" s="2087"/>
      <c r="S4" s="2087"/>
      <c r="T4" s="2087"/>
      <c r="U4" s="2087"/>
      <c r="V4" s="2087"/>
      <c r="W4" s="2087"/>
      <c r="X4" s="2088"/>
      <c r="Y4" s="2125"/>
      <c r="Z4" s="2086" t="s">
        <v>1157</v>
      </c>
      <c r="AA4" s="2087"/>
      <c r="AB4" s="2087"/>
      <c r="AC4" s="2087"/>
      <c r="AD4" s="2087"/>
      <c r="AE4" s="2087"/>
      <c r="AF4" s="2087"/>
      <c r="AG4" s="2087"/>
      <c r="AH4" s="2087"/>
      <c r="AI4" s="2087"/>
      <c r="AJ4" s="2087"/>
      <c r="AK4" s="2087"/>
      <c r="AL4" s="2087"/>
      <c r="AM4" s="2088"/>
      <c r="AN4" s="2089" t="s">
        <v>1158</v>
      </c>
      <c r="AO4" s="2090"/>
      <c r="AP4" s="2090"/>
      <c r="AQ4" s="2091"/>
      <c r="AR4" s="2095" t="s">
        <v>1159</v>
      </c>
      <c r="AS4" s="2096"/>
      <c r="AT4" s="2096"/>
      <c r="AU4" s="2096"/>
      <c r="AV4" s="2096"/>
      <c r="AW4" s="2097"/>
      <c r="AX4" s="2073"/>
      <c r="AY4" s="2101" t="s">
        <v>1159</v>
      </c>
      <c r="AZ4" s="2102"/>
      <c r="BA4" s="2066" t="s">
        <v>494</v>
      </c>
      <c r="BB4" s="2068"/>
      <c r="BC4" s="2069"/>
      <c r="BD4" s="2070"/>
      <c r="BE4" s="2070"/>
      <c r="BF4" s="2071"/>
      <c r="BG4" s="2078"/>
      <c r="BH4" s="2079"/>
      <c r="BI4" s="2080"/>
      <c r="BJ4" s="2069"/>
      <c r="BK4" s="2070"/>
      <c r="BL4" s="2070"/>
      <c r="BM4" s="2071"/>
      <c r="BN4" s="2069"/>
      <c r="BO4" s="2070"/>
      <c r="BP4" s="2070"/>
      <c r="BQ4" s="2071"/>
      <c r="BR4" s="2084"/>
      <c r="BS4" s="2084"/>
    </row>
    <row r="5" spans="1:75" ht="15" customHeight="1">
      <c r="A5" s="2113"/>
      <c r="B5" s="2115" t="s">
        <v>2382</v>
      </c>
      <c r="C5" s="2116"/>
      <c r="D5" s="2115" t="s">
        <v>1160</v>
      </c>
      <c r="E5" s="2116"/>
      <c r="F5" s="2115" t="s">
        <v>2383</v>
      </c>
      <c r="G5" s="2116"/>
      <c r="H5" s="2117"/>
      <c r="I5" s="2118"/>
      <c r="J5" s="2139" t="s">
        <v>2205</v>
      </c>
      <c r="K5" s="2122"/>
      <c r="L5" s="2122"/>
      <c r="M5" s="2123"/>
      <c r="N5" s="2127" t="s">
        <v>1161</v>
      </c>
      <c r="O5" s="2128"/>
      <c r="P5" s="2128"/>
      <c r="Q5" s="2129"/>
      <c r="R5" s="2127" t="s">
        <v>1162</v>
      </c>
      <c r="S5" s="2128"/>
      <c r="T5" s="2128"/>
      <c r="U5" s="2129"/>
      <c r="V5" s="2130" t="s">
        <v>494</v>
      </c>
      <c r="W5" s="2131"/>
      <c r="X5" s="2134" t="s">
        <v>1163</v>
      </c>
      <c r="Y5" s="2125"/>
      <c r="Z5" s="2127" t="s">
        <v>1620</v>
      </c>
      <c r="AA5" s="2128"/>
      <c r="AB5" s="2128"/>
      <c r="AC5" s="2129"/>
      <c r="AD5" s="2127" t="s">
        <v>1161</v>
      </c>
      <c r="AE5" s="2128"/>
      <c r="AF5" s="2128"/>
      <c r="AG5" s="2129"/>
      <c r="AH5" s="2127" t="s">
        <v>1164</v>
      </c>
      <c r="AI5" s="2128"/>
      <c r="AJ5" s="2128"/>
      <c r="AK5" s="2129"/>
      <c r="AL5" s="2130" t="s">
        <v>494</v>
      </c>
      <c r="AM5" s="2131"/>
      <c r="AN5" s="2092"/>
      <c r="AO5" s="2093"/>
      <c r="AP5" s="2093"/>
      <c r="AQ5" s="2094"/>
      <c r="AR5" s="2098"/>
      <c r="AS5" s="2099"/>
      <c r="AT5" s="2099"/>
      <c r="AU5" s="2099"/>
      <c r="AV5" s="2099"/>
      <c r="AW5" s="2100"/>
      <c r="AX5" s="2073"/>
      <c r="AY5" s="2103"/>
      <c r="AZ5" s="2104"/>
      <c r="BA5" s="2110"/>
      <c r="BB5" s="2111"/>
      <c r="BC5" s="2083" t="s">
        <v>1156</v>
      </c>
      <c r="BD5" s="2083" t="s">
        <v>1157</v>
      </c>
      <c r="BE5" s="2083" t="s">
        <v>1165</v>
      </c>
      <c r="BF5" s="2083" t="s">
        <v>494</v>
      </c>
      <c r="BG5" s="2062" t="s">
        <v>1166</v>
      </c>
      <c r="BH5" s="2115" t="s">
        <v>1167</v>
      </c>
      <c r="BI5" s="2116"/>
      <c r="BJ5" s="2083" t="s">
        <v>2573</v>
      </c>
      <c r="BK5" s="2058" t="s">
        <v>2574</v>
      </c>
      <c r="BL5" s="2059"/>
      <c r="BM5" s="2142" t="s">
        <v>2575</v>
      </c>
      <c r="BN5" s="2140" t="s">
        <v>1168</v>
      </c>
      <c r="BO5" s="2058" t="s">
        <v>1169</v>
      </c>
      <c r="BP5" s="2059"/>
      <c r="BQ5" s="2107" t="s">
        <v>1170</v>
      </c>
      <c r="BR5" s="2084"/>
      <c r="BS5" s="2084"/>
    </row>
    <row r="6" spans="1:75" ht="39.75" customHeight="1">
      <c r="A6" s="2113"/>
      <c r="B6" s="2119"/>
      <c r="C6" s="2120"/>
      <c r="D6" s="2119"/>
      <c r="E6" s="2120"/>
      <c r="F6" s="2119"/>
      <c r="G6" s="2120"/>
      <c r="H6" s="2119"/>
      <c r="I6" s="2120"/>
      <c r="J6" s="2064" t="s">
        <v>2206</v>
      </c>
      <c r="K6" s="2065"/>
      <c r="L6" s="2064" t="s">
        <v>1172</v>
      </c>
      <c r="M6" s="2065"/>
      <c r="N6" s="2064" t="s">
        <v>1171</v>
      </c>
      <c r="O6" s="2065"/>
      <c r="P6" s="2064" t="s">
        <v>1172</v>
      </c>
      <c r="Q6" s="2065"/>
      <c r="R6" s="2064" t="s">
        <v>1171</v>
      </c>
      <c r="S6" s="2065"/>
      <c r="T6" s="2064" t="s">
        <v>1172</v>
      </c>
      <c r="U6" s="2065"/>
      <c r="V6" s="2132"/>
      <c r="W6" s="2133"/>
      <c r="X6" s="2135"/>
      <c r="Y6" s="2125"/>
      <c r="Z6" s="2064" t="s">
        <v>1171</v>
      </c>
      <c r="AA6" s="2065"/>
      <c r="AB6" s="2064" t="s">
        <v>1172</v>
      </c>
      <c r="AC6" s="2065"/>
      <c r="AD6" s="2064" t="s">
        <v>1171</v>
      </c>
      <c r="AE6" s="2065"/>
      <c r="AF6" s="2064" t="s">
        <v>1172</v>
      </c>
      <c r="AG6" s="2065"/>
      <c r="AH6" s="2064" t="s">
        <v>1171</v>
      </c>
      <c r="AI6" s="2065"/>
      <c r="AJ6" s="2064" t="s">
        <v>1172</v>
      </c>
      <c r="AK6" s="2065"/>
      <c r="AL6" s="2132"/>
      <c r="AM6" s="2133"/>
      <c r="AN6" s="2064" t="s">
        <v>1171</v>
      </c>
      <c r="AO6" s="2065"/>
      <c r="AP6" s="2064" t="s">
        <v>1172</v>
      </c>
      <c r="AQ6" s="2065"/>
      <c r="AR6" s="2105" t="s">
        <v>1621</v>
      </c>
      <c r="AS6" s="2106"/>
      <c r="AT6" s="2105" t="s">
        <v>1173</v>
      </c>
      <c r="AU6" s="2106"/>
      <c r="AV6" s="2105" t="s">
        <v>1174</v>
      </c>
      <c r="AW6" s="2106"/>
      <c r="AX6" s="2073"/>
      <c r="AY6" s="2105" t="s">
        <v>494</v>
      </c>
      <c r="AZ6" s="2106"/>
      <c r="BA6" s="2069"/>
      <c r="BB6" s="2071"/>
      <c r="BC6" s="2085"/>
      <c r="BD6" s="2085"/>
      <c r="BE6" s="2085"/>
      <c r="BF6" s="2109"/>
      <c r="BG6" s="2063"/>
      <c r="BH6" s="2119"/>
      <c r="BI6" s="2120"/>
      <c r="BJ6" s="2085"/>
      <c r="BK6" s="2060"/>
      <c r="BL6" s="2061"/>
      <c r="BM6" s="2143"/>
      <c r="BN6" s="2141"/>
      <c r="BO6" s="2060"/>
      <c r="BP6" s="2061"/>
      <c r="BQ6" s="2108"/>
      <c r="BR6" s="2085"/>
      <c r="BS6" s="2085"/>
    </row>
    <row r="7" spans="1:75" ht="25.5" customHeight="1">
      <c r="A7" s="2113"/>
      <c r="B7" s="595" t="s">
        <v>2207</v>
      </c>
      <c r="C7" s="595" t="s">
        <v>1645</v>
      </c>
      <c r="D7" s="595" t="s">
        <v>1175</v>
      </c>
      <c r="E7" s="595" t="s">
        <v>1645</v>
      </c>
      <c r="F7" s="1558" t="s">
        <v>1175</v>
      </c>
      <c r="G7" s="1558" t="s">
        <v>1645</v>
      </c>
      <c r="H7" s="595" t="s">
        <v>1175</v>
      </c>
      <c r="I7" s="595" t="s">
        <v>1645</v>
      </c>
      <c r="J7" s="595" t="s">
        <v>1175</v>
      </c>
      <c r="K7" s="595" t="s">
        <v>1645</v>
      </c>
      <c r="L7" s="595" t="s">
        <v>1175</v>
      </c>
      <c r="M7" s="1225" t="s">
        <v>1645</v>
      </c>
      <c r="N7" s="595" t="s">
        <v>1175</v>
      </c>
      <c r="O7" s="596" t="s">
        <v>1645</v>
      </c>
      <c r="P7" s="595" t="s">
        <v>1175</v>
      </c>
      <c r="Q7" s="596" t="s">
        <v>1645</v>
      </c>
      <c r="R7" s="595" t="s">
        <v>1175</v>
      </c>
      <c r="S7" s="596" t="s">
        <v>1645</v>
      </c>
      <c r="T7" s="595" t="s">
        <v>1175</v>
      </c>
      <c r="U7" s="596" t="s">
        <v>1645</v>
      </c>
      <c r="V7" s="595" t="s">
        <v>1175</v>
      </c>
      <c r="W7" s="596" t="s">
        <v>1645</v>
      </c>
      <c r="X7" s="595" t="s">
        <v>1645</v>
      </c>
      <c r="Y7" s="2125"/>
      <c r="Z7" s="595" t="s">
        <v>1175</v>
      </c>
      <c r="AA7" s="595" t="s">
        <v>1645</v>
      </c>
      <c r="AB7" s="595" t="s">
        <v>1175</v>
      </c>
      <c r="AC7" s="595" t="s">
        <v>1645</v>
      </c>
      <c r="AD7" s="595" t="s">
        <v>1175</v>
      </c>
      <c r="AE7" s="595" t="s">
        <v>1646</v>
      </c>
      <c r="AF7" s="595" t="s">
        <v>1175</v>
      </c>
      <c r="AG7" s="595" t="s">
        <v>1645</v>
      </c>
      <c r="AH7" s="595" t="s">
        <v>1175</v>
      </c>
      <c r="AI7" s="595" t="s">
        <v>1645</v>
      </c>
      <c r="AJ7" s="595" t="s">
        <v>1175</v>
      </c>
      <c r="AK7" s="595" t="s">
        <v>1645</v>
      </c>
      <c r="AL7" s="595" t="s">
        <v>1175</v>
      </c>
      <c r="AM7" s="595" t="s">
        <v>1645</v>
      </c>
      <c r="AN7" s="595" t="s">
        <v>1175</v>
      </c>
      <c r="AO7" s="595" t="s">
        <v>1645</v>
      </c>
      <c r="AP7" s="595" t="s">
        <v>1175</v>
      </c>
      <c r="AQ7" s="595" t="s">
        <v>1645</v>
      </c>
      <c r="AR7" s="595" t="s">
        <v>1175</v>
      </c>
      <c r="AS7" s="595" t="s">
        <v>1645</v>
      </c>
      <c r="AT7" s="595" t="s">
        <v>1175</v>
      </c>
      <c r="AU7" s="595" t="s">
        <v>1645</v>
      </c>
      <c r="AV7" s="595" t="s">
        <v>1175</v>
      </c>
      <c r="AW7" s="595" t="s">
        <v>1645</v>
      </c>
      <c r="AX7" s="2073"/>
      <c r="AY7" s="595" t="s">
        <v>1175</v>
      </c>
      <c r="AZ7" s="595" t="s">
        <v>1645</v>
      </c>
      <c r="BA7" s="595" t="s">
        <v>1175</v>
      </c>
      <c r="BB7" s="595" t="s">
        <v>1645</v>
      </c>
      <c r="BC7" s="595" t="s">
        <v>1229</v>
      </c>
      <c r="BD7" s="595" t="s">
        <v>1229</v>
      </c>
      <c r="BE7" s="595" t="s">
        <v>1176</v>
      </c>
      <c r="BF7" s="595" t="s">
        <v>1176</v>
      </c>
      <c r="BG7" s="595" t="s">
        <v>1176</v>
      </c>
      <c r="BH7" s="595" t="s">
        <v>1175</v>
      </c>
      <c r="BI7" s="595" t="s">
        <v>1645</v>
      </c>
      <c r="BJ7" s="595" t="s">
        <v>1176</v>
      </c>
      <c r="BK7" s="595" t="s">
        <v>1175</v>
      </c>
      <c r="BL7" s="595" t="s">
        <v>1645</v>
      </c>
      <c r="BM7" s="595" t="s">
        <v>1176</v>
      </c>
      <c r="BN7" s="595" t="s">
        <v>1176</v>
      </c>
      <c r="BO7" s="595" t="s">
        <v>1175</v>
      </c>
      <c r="BP7" s="595" t="s">
        <v>1645</v>
      </c>
      <c r="BQ7" s="595" t="s">
        <v>1176</v>
      </c>
      <c r="BR7" s="595" t="s">
        <v>1176</v>
      </c>
      <c r="BS7" s="595" t="s">
        <v>1176</v>
      </c>
    </row>
    <row r="8" spans="1:75" ht="10.5" customHeight="1">
      <c r="A8" s="2114"/>
      <c r="B8" s="2081">
        <v>1</v>
      </c>
      <c r="C8" s="2082"/>
      <c r="D8" s="2081">
        <v>2</v>
      </c>
      <c r="E8" s="2144"/>
      <c r="F8" s="2081" t="s">
        <v>1177</v>
      </c>
      <c r="G8" s="2082"/>
      <c r="H8" s="2081">
        <v>4</v>
      </c>
      <c r="I8" s="2082"/>
      <c r="J8" s="2081">
        <v>5</v>
      </c>
      <c r="K8" s="2082"/>
      <c r="L8" s="2081">
        <v>6</v>
      </c>
      <c r="M8" s="2082"/>
      <c r="N8" s="2081">
        <v>7</v>
      </c>
      <c r="O8" s="2082"/>
      <c r="P8" s="2081">
        <v>8</v>
      </c>
      <c r="Q8" s="2082"/>
      <c r="R8" s="2081">
        <v>9</v>
      </c>
      <c r="S8" s="2082"/>
      <c r="T8" s="2081">
        <v>10</v>
      </c>
      <c r="U8" s="2082"/>
      <c r="V8" s="2081" t="s">
        <v>1178</v>
      </c>
      <c r="W8" s="2082"/>
      <c r="X8" s="990">
        <v>12</v>
      </c>
      <c r="Y8" s="2126"/>
      <c r="Z8" s="2081">
        <v>13</v>
      </c>
      <c r="AA8" s="2082"/>
      <c r="AB8" s="2081">
        <v>14</v>
      </c>
      <c r="AC8" s="2082"/>
      <c r="AD8" s="2081">
        <v>15</v>
      </c>
      <c r="AE8" s="2123"/>
      <c r="AF8" s="2081">
        <v>16</v>
      </c>
      <c r="AG8" s="2082"/>
      <c r="AH8" s="2081">
        <v>17</v>
      </c>
      <c r="AI8" s="2123"/>
      <c r="AJ8" s="2081">
        <v>18</v>
      </c>
      <c r="AK8" s="2082"/>
      <c r="AL8" s="2081" t="s">
        <v>1179</v>
      </c>
      <c r="AM8" s="2082"/>
      <c r="AN8" s="2081">
        <v>20</v>
      </c>
      <c r="AO8" s="2082"/>
      <c r="AP8" s="2081">
        <v>21</v>
      </c>
      <c r="AQ8" s="2082"/>
      <c r="AR8" s="2081">
        <v>22</v>
      </c>
      <c r="AS8" s="2082"/>
      <c r="AT8" s="2081">
        <v>23</v>
      </c>
      <c r="AU8" s="2082"/>
      <c r="AV8" s="2081">
        <v>24</v>
      </c>
      <c r="AW8" s="2082"/>
      <c r="AX8" s="2074"/>
      <c r="AY8" s="2145" t="s">
        <v>1180</v>
      </c>
      <c r="AZ8" s="2123"/>
      <c r="BA8" s="2146" t="s">
        <v>1181</v>
      </c>
      <c r="BB8" s="2123"/>
      <c r="BC8" s="990">
        <v>27</v>
      </c>
      <c r="BD8" s="990">
        <v>28</v>
      </c>
      <c r="BE8" s="990">
        <v>29</v>
      </c>
      <c r="BF8" s="1215" t="s">
        <v>1228</v>
      </c>
      <c r="BG8" s="990">
        <v>31</v>
      </c>
      <c r="BH8" s="990">
        <v>32</v>
      </c>
      <c r="BI8" s="990">
        <v>33</v>
      </c>
      <c r="BJ8" s="990">
        <v>34</v>
      </c>
      <c r="BK8" s="2081">
        <v>35</v>
      </c>
      <c r="BL8" s="2082"/>
      <c r="BM8" s="990">
        <v>36</v>
      </c>
      <c r="BN8" s="990">
        <v>37</v>
      </c>
      <c r="BO8" s="2081">
        <v>38</v>
      </c>
      <c r="BP8" s="2082"/>
      <c r="BQ8" s="990">
        <v>39</v>
      </c>
      <c r="BR8" s="990">
        <v>40</v>
      </c>
      <c r="BS8" s="990">
        <v>41</v>
      </c>
    </row>
    <row r="9" spans="1:75" s="190" customFormat="1" ht="11.85" customHeight="1">
      <c r="A9" s="597" t="s">
        <v>1105</v>
      </c>
      <c r="B9" s="597">
        <v>23978480</v>
      </c>
      <c r="C9" s="871">
        <v>1464009.7289322768</v>
      </c>
      <c r="D9" s="597">
        <v>44278</v>
      </c>
      <c r="E9" s="871">
        <v>1018.6778832269999</v>
      </c>
      <c r="F9" s="597">
        <v>24022758</v>
      </c>
      <c r="G9" s="871">
        <v>1465028.3768155039</v>
      </c>
      <c r="H9" s="597">
        <v>10239509</v>
      </c>
      <c r="I9" s="871">
        <v>71466.937429648984</v>
      </c>
      <c r="J9" s="597">
        <v>998449</v>
      </c>
      <c r="K9" s="871">
        <v>646.08967006300009</v>
      </c>
      <c r="L9" s="597">
        <v>28021</v>
      </c>
      <c r="M9" s="871">
        <v>58.784323374000003</v>
      </c>
      <c r="N9" s="597">
        <v>6761512</v>
      </c>
      <c r="O9" s="871">
        <v>4060.5280064609997</v>
      </c>
      <c r="P9" s="597">
        <v>696549</v>
      </c>
      <c r="Q9" s="871">
        <v>925.00183520100018</v>
      </c>
      <c r="R9" s="597">
        <v>253116</v>
      </c>
      <c r="S9" s="871">
        <v>33.120208383000005</v>
      </c>
      <c r="T9" s="597">
        <v>100313</v>
      </c>
      <c r="U9" s="871">
        <v>148.52871070899999</v>
      </c>
      <c r="V9" s="597">
        <v>8837960</v>
      </c>
      <c r="W9" s="871">
        <v>5872.1027541909998</v>
      </c>
      <c r="X9" s="871">
        <v>2848.2799999999997</v>
      </c>
      <c r="Y9" s="597" t="s">
        <v>1105</v>
      </c>
      <c r="Z9" s="597">
        <v>109437869</v>
      </c>
      <c r="AA9" s="871">
        <v>82463.211347299992</v>
      </c>
      <c r="AB9" s="597">
        <v>32304</v>
      </c>
      <c r="AC9" s="871">
        <v>72.503609452000006</v>
      </c>
      <c r="AD9" s="597">
        <v>4471176</v>
      </c>
      <c r="AE9" s="871">
        <v>5484.155814492</v>
      </c>
      <c r="AF9" s="597">
        <v>68426</v>
      </c>
      <c r="AG9" s="871">
        <v>67.242002869999993</v>
      </c>
      <c r="AH9" s="597">
        <v>689996</v>
      </c>
      <c r="AI9" s="871">
        <v>77.175405626</v>
      </c>
      <c r="AJ9" s="597">
        <v>15022</v>
      </c>
      <c r="AK9" s="871">
        <v>17.501102213199999</v>
      </c>
      <c r="AL9" s="597">
        <v>114714793</v>
      </c>
      <c r="AM9" s="871">
        <v>88181.789374014203</v>
      </c>
      <c r="AN9" s="597">
        <v>413236</v>
      </c>
      <c r="AO9" s="871">
        <v>246.07698346200002</v>
      </c>
      <c r="AP9" s="597">
        <v>87958</v>
      </c>
      <c r="AQ9" s="871">
        <v>178.202189041</v>
      </c>
      <c r="AR9" s="597">
        <v>1230385</v>
      </c>
      <c r="AS9" s="871">
        <v>1225.122370545</v>
      </c>
      <c r="AT9" s="597">
        <v>3413293</v>
      </c>
      <c r="AU9" s="871">
        <v>2328.170729938</v>
      </c>
      <c r="AV9" s="597">
        <v>19647</v>
      </c>
      <c r="AW9" s="871">
        <v>49.56867063</v>
      </c>
      <c r="AX9" s="597" t="s">
        <v>1105</v>
      </c>
      <c r="AY9" s="597">
        <v>4663325</v>
      </c>
      <c r="AZ9" s="871">
        <v>3602.8217711130005</v>
      </c>
      <c r="BA9" s="597">
        <v>128717272</v>
      </c>
      <c r="BB9" s="871">
        <v>98075.655860283223</v>
      </c>
      <c r="BC9" s="597">
        <v>583209</v>
      </c>
      <c r="BD9" s="597">
        <v>8547688</v>
      </c>
      <c r="BE9" s="597">
        <v>113248</v>
      </c>
      <c r="BF9" s="597">
        <v>9244145</v>
      </c>
      <c r="BG9" s="597">
        <v>1460092</v>
      </c>
      <c r="BH9" s="597">
        <v>5863004</v>
      </c>
      <c r="BI9" s="871">
        <v>18357.901878275999</v>
      </c>
      <c r="BJ9" s="597">
        <v>547407</v>
      </c>
      <c r="BK9" s="597">
        <v>939607060</v>
      </c>
      <c r="BL9" s="871">
        <v>142292.75133781202</v>
      </c>
      <c r="BM9" s="597">
        <v>28625074</v>
      </c>
      <c r="BN9" s="597">
        <v>100</v>
      </c>
      <c r="BO9" s="597">
        <v>243530</v>
      </c>
      <c r="BP9" s="871">
        <v>301.16054062199998</v>
      </c>
      <c r="BQ9" s="597">
        <v>37052</v>
      </c>
      <c r="BR9" s="597">
        <v>6346</v>
      </c>
      <c r="BS9" s="597">
        <v>28587</v>
      </c>
    </row>
    <row r="10" spans="1:75" s="190" customFormat="1" ht="11.85" customHeight="1">
      <c r="A10" s="874" t="s">
        <v>1231</v>
      </c>
      <c r="B10" s="874">
        <v>22289753</v>
      </c>
      <c r="C10" s="873">
        <v>1669465.3599999999</v>
      </c>
      <c r="D10" s="874">
        <v>37182</v>
      </c>
      <c r="E10" s="873">
        <v>1056.9699999999998</v>
      </c>
      <c r="F10" s="874">
        <v>22326935</v>
      </c>
      <c r="G10" s="873">
        <v>1670522.24</v>
      </c>
      <c r="H10" s="874">
        <v>13548271</v>
      </c>
      <c r="I10" s="873">
        <v>90953.55</v>
      </c>
      <c r="J10" s="874">
        <v>1068730</v>
      </c>
      <c r="K10" s="873">
        <v>704.32</v>
      </c>
      <c r="L10" s="874">
        <v>31335</v>
      </c>
      <c r="M10" s="873">
        <v>55.879999999999995</v>
      </c>
      <c r="N10" s="874">
        <v>8541661</v>
      </c>
      <c r="O10" s="873">
        <v>4957.66</v>
      </c>
      <c r="P10" s="874">
        <v>907456</v>
      </c>
      <c r="Q10" s="873">
        <v>1110.93</v>
      </c>
      <c r="R10" s="874">
        <v>479308</v>
      </c>
      <c r="S10" s="873">
        <v>71.839999999999975</v>
      </c>
      <c r="T10" s="874">
        <v>199561</v>
      </c>
      <c r="U10" s="873">
        <v>209.04000000000002</v>
      </c>
      <c r="V10" s="874">
        <v>11228051</v>
      </c>
      <c r="W10" s="873">
        <v>7109.7800000000007</v>
      </c>
      <c r="X10" s="873">
        <v>3002.09</v>
      </c>
      <c r="Y10" s="874" t="s">
        <v>1231</v>
      </c>
      <c r="Z10" s="874">
        <v>144624702</v>
      </c>
      <c r="AA10" s="873">
        <v>103942.53</v>
      </c>
      <c r="AB10" s="874">
        <v>18111</v>
      </c>
      <c r="AC10" s="873">
        <v>61.669999999999995</v>
      </c>
      <c r="AD10" s="874">
        <v>6600050</v>
      </c>
      <c r="AE10" s="873">
        <v>6668.11</v>
      </c>
      <c r="AF10" s="874">
        <v>47953</v>
      </c>
      <c r="AG10" s="873">
        <v>71.12</v>
      </c>
      <c r="AH10" s="874">
        <v>586851</v>
      </c>
      <c r="AI10" s="873">
        <v>79.209999999999994</v>
      </c>
      <c r="AJ10" s="874">
        <v>17265</v>
      </c>
      <c r="AK10" s="873">
        <v>22</v>
      </c>
      <c r="AL10" s="874">
        <v>151894932</v>
      </c>
      <c r="AM10" s="873">
        <v>110844.63999999998</v>
      </c>
      <c r="AN10" s="874">
        <v>562137</v>
      </c>
      <c r="AO10" s="873">
        <v>359.77000000000004</v>
      </c>
      <c r="AP10" s="874">
        <v>97635</v>
      </c>
      <c r="AQ10" s="873">
        <v>111.22999999999999</v>
      </c>
      <c r="AR10" s="874">
        <v>790240</v>
      </c>
      <c r="AS10" s="873">
        <v>1179.3</v>
      </c>
      <c r="AT10" s="874">
        <v>2307859</v>
      </c>
      <c r="AU10" s="873">
        <v>2180.1</v>
      </c>
      <c r="AV10" s="874">
        <v>261323</v>
      </c>
      <c r="AW10" s="873">
        <v>71.890000000000015</v>
      </c>
      <c r="AX10" s="874" t="s">
        <v>1231</v>
      </c>
      <c r="AY10" s="874">
        <v>3359422</v>
      </c>
      <c r="AZ10" s="873">
        <v>3431.24</v>
      </c>
      <c r="BA10" s="874">
        <v>167122535</v>
      </c>
      <c r="BB10" s="873">
        <v>121795.34999999998</v>
      </c>
      <c r="BC10" s="874">
        <v>769296</v>
      </c>
      <c r="BD10" s="874">
        <v>9062049</v>
      </c>
      <c r="BE10" s="874">
        <v>160225</v>
      </c>
      <c r="BF10" s="874">
        <v>9991570</v>
      </c>
      <c r="BG10" s="874">
        <v>1436837</v>
      </c>
      <c r="BH10" s="874">
        <v>7457338</v>
      </c>
      <c r="BI10" s="873">
        <v>25524.160000000003</v>
      </c>
      <c r="BJ10" s="874">
        <v>617418</v>
      </c>
      <c r="BK10" s="874">
        <v>1354198797</v>
      </c>
      <c r="BL10" s="873">
        <v>196061.47</v>
      </c>
      <c r="BM10" s="874">
        <v>36333933</v>
      </c>
      <c r="BN10" s="874">
        <v>610</v>
      </c>
      <c r="BO10" s="874">
        <v>2115664</v>
      </c>
      <c r="BP10" s="873">
        <v>3579.19</v>
      </c>
      <c r="BQ10" s="874">
        <v>261693</v>
      </c>
      <c r="BR10" s="874">
        <v>8517</v>
      </c>
      <c r="BS10" s="874">
        <v>32270</v>
      </c>
      <c r="BT10" s="1348"/>
    </row>
    <row r="11" spans="1:75" s="190" customFormat="1" ht="11.85" customHeight="1">
      <c r="A11" s="597" t="s">
        <v>1263</v>
      </c>
      <c r="B11" s="597">
        <v>22322674</v>
      </c>
      <c r="C11" s="871">
        <v>1890492.57</v>
      </c>
      <c r="D11" s="597">
        <v>28084</v>
      </c>
      <c r="E11" s="871">
        <v>1795.25</v>
      </c>
      <c r="F11" s="597">
        <v>22350758</v>
      </c>
      <c r="G11" s="871">
        <v>1892287.75</v>
      </c>
      <c r="H11" s="597">
        <v>13740301</v>
      </c>
      <c r="I11" s="871">
        <v>106392.4</v>
      </c>
      <c r="J11" s="597">
        <v>1232084</v>
      </c>
      <c r="K11" s="871">
        <v>865.73</v>
      </c>
      <c r="L11" s="597">
        <v>39679</v>
      </c>
      <c r="M11" s="871">
        <v>68.77</v>
      </c>
      <c r="N11" s="597">
        <v>10419658</v>
      </c>
      <c r="O11" s="871">
        <v>5608.25</v>
      </c>
      <c r="P11" s="597">
        <v>1315626</v>
      </c>
      <c r="Q11" s="871">
        <v>1353.7</v>
      </c>
      <c r="R11" s="597">
        <v>976634</v>
      </c>
      <c r="S11" s="871">
        <v>188.72999999999996</v>
      </c>
      <c r="T11" s="597">
        <v>363752</v>
      </c>
      <c r="U11" s="871">
        <v>353.77</v>
      </c>
      <c r="V11" s="597">
        <v>14347433</v>
      </c>
      <c r="W11" s="871">
        <v>8439.2599999999984</v>
      </c>
      <c r="X11" s="871">
        <v>3490.8100000000004</v>
      </c>
      <c r="Y11" s="597" t="s">
        <v>1263</v>
      </c>
      <c r="Z11" s="597">
        <v>146235630</v>
      </c>
      <c r="AA11" s="871">
        <v>110256.77</v>
      </c>
      <c r="AB11" s="597">
        <v>17173</v>
      </c>
      <c r="AC11" s="871">
        <v>41.2</v>
      </c>
      <c r="AD11" s="597">
        <v>7537435</v>
      </c>
      <c r="AE11" s="871">
        <v>5396.44</v>
      </c>
      <c r="AF11" s="597">
        <v>54815</v>
      </c>
      <c r="AG11" s="871">
        <v>91.14</v>
      </c>
      <c r="AH11" s="597">
        <v>861696</v>
      </c>
      <c r="AI11" s="871">
        <v>159.82999999999998</v>
      </c>
      <c r="AJ11" s="597">
        <v>20053</v>
      </c>
      <c r="AK11" s="871">
        <v>22.61</v>
      </c>
      <c r="AL11" s="597">
        <v>154726802</v>
      </c>
      <c r="AM11" s="871">
        <v>115968.20999999999</v>
      </c>
      <c r="AN11" s="597">
        <v>707730</v>
      </c>
      <c r="AO11" s="871">
        <v>484.18999999999994</v>
      </c>
      <c r="AP11" s="597">
        <v>135948</v>
      </c>
      <c r="AQ11" s="871">
        <v>200.08</v>
      </c>
      <c r="AR11" s="597">
        <v>673548</v>
      </c>
      <c r="AS11" s="871">
        <v>1013.99</v>
      </c>
      <c r="AT11" s="597">
        <v>993729</v>
      </c>
      <c r="AU11" s="871">
        <v>920.83999999999992</v>
      </c>
      <c r="AV11" s="597">
        <v>624526</v>
      </c>
      <c r="AW11" s="871">
        <v>116.24000000000001</v>
      </c>
      <c r="AX11" s="597" t="s">
        <v>1263</v>
      </c>
      <c r="AY11" s="597">
        <v>2291803</v>
      </c>
      <c r="AZ11" s="871">
        <v>2051.16</v>
      </c>
      <c r="BA11" s="597">
        <v>172160012</v>
      </c>
      <c r="BB11" s="871">
        <v>127025.1</v>
      </c>
      <c r="BC11" s="597">
        <v>936148</v>
      </c>
      <c r="BD11" s="597">
        <v>10802217</v>
      </c>
      <c r="BE11" s="597">
        <v>205285</v>
      </c>
      <c r="BF11" s="597">
        <v>11943650</v>
      </c>
      <c r="BG11" s="597">
        <v>1621377</v>
      </c>
      <c r="BH11" s="597">
        <v>7110797</v>
      </c>
      <c r="BI11" s="871">
        <v>35753.89</v>
      </c>
      <c r="BJ11" s="597">
        <v>758570</v>
      </c>
      <c r="BK11" s="597">
        <v>1663219636</v>
      </c>
      <c r="BL11" s="871">
        <v>277072.70999999996</v>
      </c>
      <c r="BM11" s="597">
        <v>53702690</v>
      </c>
      <c r="BN11" s="597">
        <v>2891</v>
      </c>
      <c r="BO11" s="597">
        <v>6773093</v>
      </c>
      <c r="BP11" s="871">
        <v>12556.86</v>
      </c>
      <c r="BQ11" s="597">
        <v>845699</v>
      </c>
      <c r="BR11" s="597">
        <v>9246</v>
      </c>
      <c r="BS11" s="597">
        <v>36288</v>
      </c>
      <c r="BT11" s="1348"/>
      <c r="BU11" s="1348"/>
      <c r="BV11" s="1348"/>
      <c r="BW11" s="1348"/>
    </row>
    <row r="12" spans="1:75" s="190" customFormat="1" ht="11.85" customHeight="1">
      <c r="A12" s="874" t="s">
        <v>1392</v>
      </c>
      <c r="B12" s="874">
        <v>22627089</v>
      </c>
      <c r="C12" s="873">
        <v>2161164.56</v>
      </c>
      <c r="D12" s="874">
        <v>23670</v>
      </c>
      <c r="E12" s="873">
        <v>927.43000000000006</v>
      </c>
      <c r="F12" s="874">
        <v>22650759</v>
      </c>
      <c r="G12" s="873">
        <v>2162091.9900000002</v>
      </c>
      <c r="H12" s="874">
        <v>17876492</v>
      </c>
      <c r="I12" s="873">
        <v>146257.59</v>
      </c>
      <c r="J12" s="874">
        <v>1561972</v>
      </c>
      <c r="K12" s="873">
        <v>1109.03</v>
      </c>
      <c r="L12" s="874">
        <v>49077</v>
      </c>
      <c r="M12" s="873">
        <v>142.41999999999999</v>
      </c>
      <c r="N12" s="874">
        <v>12465119</v>
      </c>
      <c r="O12" s="873">
        <v>6980.8300000000017</v>
      </c>
      <c r="P12" s="874">
        <v>1613052</v>
      </c>
      <c r="Q12" s="873">
        <v>1615.1100000000001</v>
      </c>
      <c r="R12" s="874">
        <v>1981491</v>
      </c>
      <c r="S12" s="873">
        <v>337.93999999999994</v>
      </c>
      <c r="T12" s="874">
        <v>595913</v>
      </c>
      <c r="U12" s="873">
        <v>598.15</v>
      </c>
      <c r="V12" s="874">
        <v>18266624</v>
      </c>
      <c r="W12" s="873">
        <v>10783.369999999999</v>
      </c>
      <c r="X12" s="873">
        <v>4257.9500000000007</v>
      </c>
      <c r="Y12" s="874" t="s">
        <v>1392</v>
      </c>
      <c r="Z12" s="874">
        <v>163642668</v>
      </c>
      <c r="AA12" s="873">
        <v>124401.26999999999</v>
      </c>
      <c r="AB12" s="874">
        <v>17071</v>
      </c>
      <c r="AC12" s="873">
        <v>44.7</v>
      </c>
      <c r="AD12" s="874">
        <v>9043546</v>
      </c>
      <c r="AE12" s="873">
        <v>5563.4999999999991</v>
      </c>
      <c r="AF12" s="874">
        <v>60230</v>
      </c>
      <c r="AG12" s="873">
        <v>113.01</v>
      </c>
      <c r="AH12" s="874">
        <v>3002978</v>
      </c>
      <c r="AI12" s="873">
        <v>307.50000000000006</v>
      </c>
      <c r="AJ12" s="874">
        <v>32101</v>
      </c>
      <c r="AK12" s="873">
        <v>36</v>
      </c>
      <c r="AL12" s="874">
        <v>175798594</v>
      </c>
      <c r="AM12" s="873">
        <v>130466.12</v>
      </c>
      <c r="AN12" s="874">
        <v>902167</v>
      </c>
      <c r="AO12" s="873">
        <v>611.38</v>
      </c>
      <c r="AP12" s="874">
        <v>328135</v>
      </c>
      <c r="AQ12" s="873">
        <v>372.05</v>
      </c>
      <c r="AR12" s="874">
        <v>468092</v>
      </c>
      <c r="AS12" s="873">
        <v>1175.83</v>
      </c>
      <c r="AT12" s="874">
        <v>1397236</v>
      </c>
      <c r="AU12" s="873">
        <v>1330.15</v>
      </c>
      <c r="AV12" s="874">
        <v>821042</v>
      </c>
      <c r="AW12" s="873">
        <v>157.22999999999999</v>
      </c>
      <c r="AX12" s="874" t="s">
        <v>1392</v>
      </c>
      <c r="AY12" s="874">
        <v>2686370</v>
      </c>
      <c r="AZ12" s="873">
        <v>2663.25</v>
      </c>
      <c r="BA12" s="874">
        <v>197921660</v>
      </c>
      <c r="BB12" s="873">
        <v>144743.41999999998</v>
      </c>
      <c r="BC12" s="874">
        <v>1000474</v>
      </c>
      <c r="BD12" s="874">
        <v>12575605</v>
      </c>
      <c r="BE12" s="874">
        <v>158526</v>
      </c>
      <c r="BF12" s="874">
        <v>13734605</v>
      </c>
      <c r="BG12" s="874">
        <v>1856866</v>
      </c>
      <c r="BH12" s="874">
        <v>8420438</v>
      </c>
      <c r="BI12" s="873">
        <v>32842.019999999997</v>
      </c>
      <c r="BJ12" s="874">
        <v>829783</v>
      </c>
      <c r="BK12" s="874">
        <v>2035798140</v>
      </c>
      <c r="BL12" s="873">
        <v>348295.24</v>
      </c>
      <c r="BM12" s="874">
        <v>61862982</v>
      </c>
      <c r="BN12" s="874">
        <v>3598</v>
      </c>
      <c r="BO12" s="874">
        <v>15412359</v>
      </c>
      <c r="BP12" s="873">
        <v>35093.81</v>
      </c>
      <c r="BQ12" s="874">
        <v>1783156</v>
      </c>
      <c r="BR12" s="874">
        <v>9747</v>
      </c>
      <c r="BS12" s="874">
        <v>41130</v>
      </c>
      <c r="BT12" s="1348"/>
      <c r="BU12" s="1348"/>
      <c r="BV12" s="1348"/>
      <c r="BW12" s="1348"/>
    </row>
    <row r="13" spans="1:75" s="190" customFormat="1" ht="11.85" customHeight="1">
      <c r="A13" s="597" t="s">
        <v>1511</v>
      </c>
      <c r="B13" s="597">
        <v>22799904</v>
      </c>
      <c r="C13" s="871">
        <v>2282770.0784365749</v>
      </c>
      <c r="D13" s="597">
        <v>146133</v>
      </c>
      <c r="E13" s="871">
        <v>6719.4699999999993</v>
      </c>
      <c r="F13" s="597">
        <v>22946037</v>
      </c>
      <c r="G13" s="871">
        <v>2289489.5484365751</v>
      </c>
      <c r="H13" s="597">
        <v>26758871</v>
      </c>
      <c r="I13" s="871">
        <v>178032.39367637</v>
      </c>
      <c r="J13" s="597">
        <v>1951880</v>
      </c>
      <c r="K13" s="871">
        <v>1313.06</v>
      </c>
      <c r="L13" s="597">
        <v>50720</v>
      </c>
      <c r="M13" s="871">
        <v>92.95999999999998</v>
      </c>
      <c r="N13" s="597">
        <v>15028508</v>
      </c>
      <c r="O13" s="871">
        <v>8290.52</v>
      </c>
      <c r="P13" s="597">
        <v>1923225</v>
      </c>
      <c r="Q13" s="871">
        <v>1702.96</v>
      </c>
      <c r="R13" s="597">
        <v>3124193</v>
      </c>
      <c r="S13" s="871">
        <v>672.61000000000013</v>
      </c>
      <c r="T13" s="597">
        <v>963802</v>
      </c>
      <c r="U13" s="871">
        <v>771.59000000000015</v>
      </c>
      <c r="V13" s="597">
        <v>23042328</v>
      </c>
      <c r="W13" s="871">
        <v>12843.560000000001</v>
      </c>
      <c r="X13" s="871">
        <v>5056.17</v>
      </c>
      <c r="Y13" s="597" t="s">
        <v>1511</v>
      </c>
      <c r="Z13" s="597">
        <v>188970118</v>
      </c>
      <c r="AA13" s="871">
        <v>148183.74999999997</v>
      </c>
      <c r="AB13" s="597">
        <v>19830</v>
      </c>
      <c r="AC13" s="871">
        <v>54.44</v>
      </c>
      <c r="AD13" s="597">
        <v>11477894</v>
      </c>
      <c r="AE13" s="871">
        <v>5802.16</v>
      </c>
      <c r="AF13" s="597">
        <v>70659</v>
      </c>
      <c r="AG13" s="871">
        <v>133.76999999999998</v>
      </c>
      <c r="AH13" s="597">
        <v>11499453</v>
      </c>
      <c r="AI13" s="871">
        <v>527.10000000000014</v>
      </c>
      <c r="AJ13" s="597">
        <v>53845</v>
      </c>
      <c r="AK13" s="871">
        <v>48.650000000000006</v>
      </c>
      <c r="AL13" s="597">
        <v>212091799</v>
      </c>
      <c r="AM13" s="871">
        <v>154749.99</v>
      </c>
      <c r="AN13" s="597">
        <v>1423955</v>
      </c>
      <c r="AO13" s="871">
        <v>932.91</v>
      </c>
      <c r="AP13" s="597">
        <v>780021</v>
      </c>
      <c r="AQ13" s="871">
        <v>279</v>
      </c>
      <c r="AR13" s="597">
        <v>712417</v>
      </c>
      <c r="AS13" s="871">
        <v>1272.06</v>
      </c>
      <c r="AT13" s="597">
        <v>1330714</v>
      </c>
      <c r="AU13" s="871">
        <v>1415.1799999999998</v>
      </c>
      <c r="AV13" s="597">
        <v>619956</v>
      </c>
      <c r="AW13" s="871">
        <v>148.99</v>
      </c>
      <c r="AX13" s="597" t="s">
        <v>1511</v>
      </c>
      <c r="AY13" s="597">
        <v>2762794</v>
      </c>
      <c r="AZ13" s="871">
        <v>2861.84</v>
      </c>
      <c r="BA13" s="597">
        <v>240003413</v>
      </c>
      <c r="BB13" s="871">
        <v>171462.15000000002</v>
      </c>
      <c r="BC13" s="597">
        <v>1394675</v>
      </c>
      <c r="BD13" s="1401">
        <v>16915478</v>
      </c>
      <c r="BE13" s="597">
        <v>320235</v>
      </c>
      <c r="BF13" s="597">
        <v>18630388</v>
      </c>
      <c r="BG13" s="597">
        <v>2251764</v>
      </c>
      <c r="BH13" s="597">
        <v>11711906</v>
      </c>
      <c r="BI13" s="871">
        <v>47615.11</v>
      </c>
      <c r="BJ13" s="597">
        <v>1024772</v>
      </c>
      <c r="BK13" s="597">
        <v>2467033312</v>
      </c>
      <c r="BL13" s="871">
        <v>402913.265935726</v>
      </c>
      <c r="BM13" s="597">
        <v>73778610</v>
      </c>
      <c r="BN13" s="597">
        <v>6073</v>
      </c>
      <c r="BO13" s="597">
        <v>32530626</v>
      </c>
      <c r="BP13" s="871">
        <v>312040.26</v>
      </c>
      <c r="BQ13" s="597">
        <v>3416020</v>
      </c>
      <c r="BR13" s="597">
        <v>10722</v>
      </c>
      <c r="BS13" s="597">
        <v>52846</v>
      </c>
      <c r="BT13" s="1"/>
      <c r="BU13" s="1453"/>
      <c r="BV13" s="1349"/>
    </row>
    <row r="14" spans="1:75" s="817" customFormat="1" ht="11.85" customHeight="1">
      <c r="A14" s="874" t="s">
        <v>1602</v>
      </c>
      <c r="B14" s="874">
        <v>19692996</v>
      </c>
      <c r="C14" s="873">
        <v>2134775.6</v>
      </c>
      <c r="D14" s="874">
        <v>202165</v>
      </c>
      <c r="E14" s="873">
        <v>9638.827665630999</v>
      </c>
      <c r="F14" s="874">
        <v>19895161</v>
      </c>
      <c r="G14" s="873">
        <v>2144414.4</v>
      </c>
      <c r="H14" s="874">
        <v>50257666</v>
      </c>
      <c r="I14" s="873">
        <v>257440.06646475603</v>
      </c>
      <c r="J14" s="874">
        <v>2376130</v>
      </c>
      <c r="K14" s="873">
        <v>1571.4124550470001</v>
      </c>
      <c r="L14" s="874">
        <v>39082</v>
      </c>
      <c r="M14" s="873">
        <v>63.543494757600008</v>
      </c>
      <c r="N14" s="874">
        <v>15306481</v>
      </c>
      <c r="O14" s="873">
        <v>7966.2977085550001</v>
      </c>
      <c r="P14" s="874">
        <v>1535082</v>
      </c>
      <c r="Q14" s="873">
        <v>1266.0935939600001</v>
      </c>
      <c r="R14" s="874">
        <v>4046124</v>
      </c>
      <c r="S14" s="873">
        <v>1346.5782712749999</v>
      </c>
      <c r="T14" s="874">
        <v>1202470</v>
      </c>
      <c r="U14" s="873">
        <v>437.25777197175</v>
      </c>
      <c r="V14" s="874">
        <v>24505369</v>
      </c>
      <c r="W14" s="873">
        <v>12651.183295566349</v>
      </c>
      <c r="X14" s="873">
        <v>5231.1335752910009</v>
      </c>
      <c r="Y14" s="874" t="s">
        <v>1602</v>
      </c>
      <c r="Z14" s="874">
        <v>193762532</v>
      </c>
      <c r="AA14" s="873">
        <v>156878.86528764101</v>
      </c>
      <c r="AB14" s="874">
        <v>21928</v>
      </c>
      <c r="AC14" s="873">
        <v>55.000389470150004</v>
      </c>
      <c r="AD14" s="874">
        <v>10367099</v>
      </c>
      <c r="AE14" s="873">
        <v>5107.0373490185002</v>
      </c>
      <c r="AF14" s="874">
        <v>89133</v>
      </c>
      <c r="AG14" s="873">
        <v>92.192790867699998</v>
      </c>
      <c r="AH14" s="874">
        <v>9820620</v>
      </c>
      <c r="AI14" s="873">
        <v>1112.1988214419998</v>
      </c>
      <c r="AJ14" s="874">
        <v>112794</v>
      </c>
      <c r="AK14" s="873">
        <v>49.724057373549989</v>
      </c>
      <c r="AL14" s="874">
        <v>214174106</v>
      </c>
      <c r="AM14" s="873">
        <v>163295.01869581288</v>
      </c>
      <c r="AN14" s="874">
        <v>1952354</v>
      </c>
      <c r="AO14" s="873">
        <v>1329.0257139841999</v>
      </c>
      <c r="AP14" s="874">
        <v>1275782</v>
      </c>
      <c r="AQ14" s="873">
        <v>295.33457085704998</v>
      </c>
      <c r="AR14" s="874">
        <v>747458</v>
      </c>
      <c r="AS14" s="873">
        <v>904.85434712599999</v>
      </c>
      <c r="AT14" s="874">
        <v>897425</v>
      </c>
      <c r="AU14" s="873">
        <v>890.52063242899999</v>
      </c>
      <c r="AV14" s="874">
        <v>330007</v>
      </c>
      <c r="AW14" s="873">
        <v>104.929424063</v>
      </c>
      <c r="AX14" s="874" t="s">
        <v>1602</v>
      </c>
      <c r="AY14" s="874">
        <v>1974890</v>
      </c>
      <c r="AZ14" s="873">
        <v>1900.3044036180002</v>
      </c>
      <c r="BA14" s="874">
        <v>243882501</v>
      </c>
      <c r="BB14" s="873">
        <v>179470.86667983848</v>
      </c>
      <c r="BC14" s="874">
        <v>1560459</v>
      </c>
      <c r="BD14" s="1674">
        <v>19725783</v>
      </c>
      <c r="BE14" s="874">
        <v>586230</v>
      </c>
      <c r="BF14" s="874">
        <v>21872472</v>
      </c>
      <c r="BG14" s="874">
        <v>2742241</v>
      </c>
      <c r="BH14" s="874">
        <v>19897516</v>
      </c>
      <c r="BI14" s="873">
        <v>71561.035925468008</v>
      </c>
      <c r="BJ14" s="872">
        <v>1160121</v>
      </c>
      <c r="BK14" s="874">
        <v>2859543446</v>
      </c>
      <c r="BL14" s="873">
        <v>489558.87528139201</v>
      </c>
      <c r="BM14" s="874">
        <v>107475632</v>
      </c>
      <c r="BN14" s="874">
        <v>8812</v>
      </c>
      <c r="BO14" s="874">
        <v>66181962</v>
      </c>
      <c r="BP14" s="873">
        <v>191433.25811183645</v>
      </c>
      <c r="BQ14" s="874">
        <v>7357466</v>
      </c>
      <c r="BR14" s="874">
        <v>11047</v>
      </c>
      <c r="BS14" s="874">
        <v>65946</v>
      </c>
      <c r="BT14" s="1277"/>
      <c r="BU14" s="1454"/>
      <c r="BV14" s="1348"/>
    </row>
    <row r="15" spans="1:75" s="190" customFormat="1" ht="11.85" customHeight="1">
      <c r="A15" s="598" t="s">
        <v>1668</v>
      </c>
      <c r="B15" s="598">
        <v>20659521</v>
      </c>
      <c r="C15" s="1150">
        <v>2423173.8888500961</v>
      </c>
      <c r="D15" s="598">
        <v>439633</v>
      </c>
      <c r="E15" s="1150">
        <v>10717.059649764</v>
      </c>
      <c r="F15" s="1149">
        <v>21099154</v>
      </c>
      <c r="G15" s="1150">
        <v>2433890.9484998598</v>
      </c>
      <c r="H15" s="1418">
        <v>133383702</v>
      </c>
      <c r="I15" s="1150">
        <v>424084.19240942295</v>
      </c>
      <c r="J15" s="598">
        <v>3107852</v>
      </c>
      <c r="K15" s="1150">
        <v>2648.7021078270004</v>
      </c>
      <c r="L15" s="598">
        <v>14382</v>
      </c>
      <c r="M15" s="1150">
        <v>29.033245158550002</v>
      </c>
      <c r="N15" s="598">
        <v>16955039</v>
      </c>
      <c r="O15" s="1150">
        <v>10577.675231101</v>
      </c>
      <c r="P15" s="598">
        <v>714030</v>
      </c>
      <c r="Q15" s="1150">
        <v>477.35958799905001</v>
      </c>
      <c r="R15" s="598">
        <v>7411758</v>
      </c>
      <c r="S15" s="1150">
        <v>3820.1791295130001</v>
      </c>
      <c r="T15" s="598">
        <v>1114214</v>
      </c>
      <c r="U15" s="1150">
        <v>419.69825229380001</v>
      </c>
      <c r="V15" s="598">
        <v>29317275</v>
      </c>
      <c r="W15" s="1150">
        <v>17972.647553892399</v>
      </c>
      <c r="X15" s="1150">
        <v>6452.2631663700004</v>
      </c>
      <c r="Y15" s="598" t="s">
        <v>1668</v>
      </c>
      <c r="Z15" s="598">
        <v>241633196</v>
      </c>
      <c r="AA15" s="1150">
        <v>212200.39009012704</v>
      </c>
      <c r="AB15" s="598">
        <v>13230</v>
      </c>
      <c r="AC15" s="1150">
        <v>51.706051254700007</v>
      </c>
      <c r="AD15" s="598">
        <v>15692084</v>
      </c>
      <c r="AE15" s="1150">
        <v>6093.4694801100004</v>
      </c>
      <c r="AF15" s="598">
        <v>84064</v>
      </c>
      <c r="AG15" s="1150">
        <v>44.073489145549999</v>
      </c>
      <c r="AH15" s="598">
        <v>15493699</v>
      </c>
      <c r="AI15" s="1150">
        <v>4069.9201925638004</v>
      </c>
      <c r="AJ15" s="598">
        <v>234778</v>
      </c>
      <c r="AK15" s="1150">
        <v>67.917196810749999</v>
      </c>
      <c r="AL15" s="598">
        <v>273151051</v>
      </c>
      <c r="AM15" s="1150">
        <v>222527.47650001181</v>
      </c>
      <c r="AN15" s="598">
        <v>2722079</v>
      </c>
      <c r="AO15" s="1150">
        <v>1828.257555976</v>
      </c>
      <c r="AP15" s="598">
        <v>1271573</v>
      </c>
      <c r="AQ15" s="1150">
        <v>223.65855985310003</v>
      </c>
      <c r="AR15" s="598">
        <v>817466</v>
      </c>
      <c r="AS15" s="1150">
        <v>972.30655500199998</v>
      </c>
      <c r="AT15" s="598">
        <v>823656</v>
      </c>
      <c r="AU15" s="1150">
        <v>612.35550458149999</v>
      </c>
      <c r="AV15" s="598">
        <v>472592</v>
      </c>
      <c r="AW15" s="1150">
        <v>123.242801439</v>
      </c>
      <c r="AX15" s="598" t="s">
        <v>1668</v>
      </c>
      <c r="AY15" s="598">
        <v>2113714</v>
      </c>
      <c r="AZ15" s="1150">
        <v>1707.9048610225002</v>
      </c>
      <c r="BA15" s="598">
        <v>308575692</v>
      </c>
      <c r="BB15" s="1150">
        <v>244259.9450307558</v>
      </c>
      <c r="BC15" s="598">
        <v>1734418</v>
      </c>
      <c r="BD15" s="1350">
        <v>23363702</v>
      </c>
      <c r="BE15" s="598">
        <v>934250</v>
      </c>
      <c r="BF15" s="598">
        <v>26032370</v>
      </c>
      <c r="BG15" s="598">
        <v>3638433</v>
      </c>
      <c r="BH15" s="598">
        <v>28762491</v>
      </c>
      <c r="BI15" s="1150">
        <v>101060.36294114799</v>
      </c>
      <c r="BJ15" s="598">
        <v>1377616</v>
      </c>
      <c r="BK15" s="598">
        <v>3892218366</v>
      </c>
      <c r="BL15" s="1150">
        <v>759556.04742055829</v>
      </c>
      <c r="BM15" s="598">
        <v>152462267</v>
      </c>
      <c r="BN15" s="598">
        <v>12930</v>
      </c>
      <c r="BO15" s="598">
        <v>115849678</v>
      </c>
      <c r="BP15" s="1150">
        <v>394068.63955505099</v>
      </c>
      <c r="BQ15" s="598">
        <v>12202370</v>
      </c>
      <c r="BR15" s="598">
        <v>12337</v>
      </c>
      <c r="BS15" s="598">
        <v>82098</v>
      </c>
      <c r="BT15" s="1257"/>
      <c r="BU15" s="1453"/>
    </row>
    <row r="16" spans="1:75" s="190" customFormat="1" ht="11.85" customHeight="1">
      <c r="A16" s="1213" t="s">
        <v>2018</v>
      </c>
      <c r="B16" s="1213">
        <f>B17+B18+B19+B20+B21+B22+B23+B24+B25+B26+B27+B28</f>
        <v>22051673</v>
      </c>
      <c r="C16" s="1214">
        <f t="shared" ref="C16:W16" si="0">C17+C18+C19+C20+C21+C22+C23+C24+C25+C26+C27+C28</f>
        <v>2560438.2513423832</v>
      </c>
      <c r="D16" s="1347">
        <f t="shared" si="0"/>
        <v>298366</v>
      </c>
      <c r="E16" s="1214">
        <f t="shared" si="0"/>
        <v>6825.6877742659999</v>
      </c>
      <c r="F16" s="1347">
        <f t="shared" si="0"/>
        <v>22350039</v>
      </c>
      <c r="G16" s="1214">
        <f t="shared" si="0"/>
        <v>2567263.9391166489</v>
      </c>
      <c r="H16" s="1417">
        <f>H17+H18+H19+H20+H21+H22+H23+H24+H25+H26+H27+H28</f>
        <v>185601004</v>
      </c>
      <c r="I16" s="1214">
        <f t="shared" si="0"/>
        <v>575743.87912449497</v>
      </c>
      <c r="J16" s="1347">
        <f t="shared" si="0"/>
        <v>5535126</v>
      </c>
      <c r="K16" s="1214">
        <f t="shared" si="0"/>
        <v>5684.4229899359998</v>
      </c>
      <c r="L16" s="1213">
        <f t="shared" si="0"/>
        <v>32269</v>
      </c>
      <c r="M16" s="1213">
        <f t="shared" si="0"/>
        <v>58.300769251000006</v>
      </c>
      <c r="N16" s="1213">
        <f t="shared" si="0"/>
        <v>22368746</v>
      </c>
      <c r="O16" s="1214">
        <f t="shared" si="0"/>
        <v>13326.307397372999</v>
      </c>
      <c r="P16" s="1213">
        <f t="shared" si="0"/>
        <v>1522495</v>
      </c>
      <c r="Q16" s="1214">
        <f t="shared" si="0"/>
        <v>1377.65658089868</v>
      </c>
      <c r="R16" s="1213">
        <f t="shared" si="0"/>
        <v>9143604</v>
      </c>
      <c r="S16" s="1214">
        <f t="shared" si="0"/>
        <v>4548.9042892340003</v>
      </c>
      <c r="T16" s="1213">
        <f t="shared" si="0"/>
        <v>1540947</v>
      </c>
      <c r="U16" s="1214">
        <f t="shared" si="0"/>
        <v>629.00407213825997</v>
      </c>
      <c r="V16" s="1213">
        <f t="shared" si="0"/>
        <v>40143187</v>
      </c>
      <c r="W16" s="1214">
        <f t="shared" si="0"/>
        <v>25624.596098830942</v>
      </c>
      <c r="X16" s="1214">
        <f>X28</f>
        <v>7507.0998574979994</v>
      </c>
      <c r="Y16" s="1213" t="s">
        <v>2018</v>
      </c>
      <c r="Z16" s="1213">
        <f t="shared" ref="Z16:AW16" si="1">Z17+Z18+Z19+Z20+Z21+Z22+Z23+Z24+Z25+Z26+Z27+Z28</f>
        <v>288240242</v>
      </c>
      <c r="AA16" s="1214">
        <f t="shared" si="1"/>
        <v>295272.32001764502</v>
      </c>
      <c r="AB16" s="1213">
        <f t="shared" si="1"/>
        <v>43588</v>
      </c>
      <c r="AC16" s="1214">
        <f t="shared" si="1"/>
        <v>91.441976603099988</v>
      </c>
      <c r="AD16" s="1213">
        <f t="shared" si="1"/>
        <v>21168832</v>
      </c>
      <c r="AE16" s="1213">
        <f t="shared" si="1"/>
        <v>7795.3005784440002</v>
      </c>
      <c r="AF16" s="1213">
        <f t="shared" si="1"/>
        <v>287315</v>
      </c>
      <c r="AG16" s="1213">
        <f t="shared" si="1"/>
        <v>158.35927568939999</v>
      </c>
      <c r="AH16" s="1213">
        <f t="shared" si="1"/>
        <v>22155076</v>
      </c>
      <c r="AI16" s="1214">
        <f t="shared" si="1"/>
        <v>4000.2566246310002</v>
      </c>
      <c r="AJ16" s="1213">
        <f t="shared" si="1"/>
        <v>680047</v>
      </c>
      <c r="AK16" s="1352">
        <f t="shared" si="1"/>
        <v>184.41482989099998</v>
      </c>
      <c r="AL16" s="1213">
        <f t="shared" si="1"/>
        <v>332575100</v>
      </c>
      <c r="AM16" s="1214">
        <f t="shared" si="1"/>
        <v>307502.09330290352</v>
      </c>
      <c r="AN16" s="1213">
        <f t="shared" si="1"/>
        <v>3546881</v>
      </c>
      <c r="AO16" s="1214">
        <f t="shared" si="1"/>
        <v>2232.7237356689998</v>
      </c>
      <c r="AP16" s="1213">
        <f t="shared" si="1"/>
        <v>1583371</v>
      </c>
      <c r="AQ16" s="1213">
        <f t="shared" si="1"/>
        <v>445.14578276359998</v>
      </c>
      <c r="AR16" s="1213">
        <f t="shared" si="1"/>
        <v>1139587</v>
      </c>
      <c r="AS16" s="1214">
        <f t="shared" si="1"/>
        <v>1295.7154900000003</v>
      </c>
      <c r="AT16" s="1213">
        <f t="shared" si="1"/>
        <v>1260346</v>
      </c>
      <c r="AU16" s="1214">
        <f t="shared" si="1"/>
        <v>1031.81594416695</v>
      </c>
      <c r="AV16" s="1213">
        <f t="shared" si="1"/>
        <v>741131</v>
      </c>
      <c r="AW16" s="1214">
        <f t="shared" si="1"/>
        <v>282.48465722899999</v>
      </c>
      <c r="AX16" s="1213" t="s">
        <v>2018</v>
      </c>
      <c r="AY16" s="1213">
        <f t="shared" ref="AY16:BB16" si="2">AY17+AY18+AY19+AY20+AY21+AY22+AY23+AY24+AY25+AY26+AY27+AY28</f>
        <v>3141064</v>
      </c>
      <c r="AZ16" s="1214">
        <f t="shared" si="2"/>
        <v>2610.0160913959503</v>
      </c>
      <c r="BA16" s="1213">
        <f t="shared" si="2"/>
        <v>380989603</v>
      </c>
      <c r="BB16" s="1214">
        <f t="shared" si="2"/>
        <v>338414.57501156308</v>
      </c>
      <c r="BC16" s="1213">
        <f>BC28</f>
        <v>1978196</v>
      </c>
      <c r="BD16" s="1351">
        <f>BD28</f>
        <v>27623986</v>
      </c>
      <c r="BE16" s="1351">
        <f>BE28</f>
        <v>1869559</v>
      </c>
      <c r="BF16" s="1213">
        <f t="shared" ref="BF16:BG16" si="3">BF28</f>
        <v>31471741</v>
      </c>
      <c r="BG16" s="1213">
        <f t="shared" si="3"/>
        <v>5355586</v>
      </c>
      <c r="BH16" s="1213">
        <f t="shared" ref="BH16:BI16" si="4">BH17+BH18+BH19+BH20+BH21+BH22+BH23+BH24+BH25+BH26+BH27+BH28</f>
        <v>54043607</v>
      </c>
      <c r="BI16" s="1214">
        <f t="shared" si="4"/>
        <v>224959.66134032118</v>
      </c>
      <c r="BJ16" s="1213">
        <f>BJ28</f>
        <v>1515665</v>
      </c>
      <c r="BK16" s="1213">
        <f t="shared" ref="BK16:BL16" si="5">BK17+BK18+BK19+BK20+BK21+BK22+BK23+BK24+BK25+BK26+BK27+BK28</f>
        <v>4769246590</v>
      </c>
      <c r="BL16" s="1214">
        <f t="shared" si="5"/>
        <v>990004.04799868248</v>
      </c>
      <c r="BM16" s="1213">
        <f>BM28</f>
        <v>178639642</v>
      </c>
      <c r="BN16" s="1213">
        <f>BN28</f>
        <v>14300</v>
      </c>
      <c r="BO16" s="1213">
        <f t="shared" ref="BO16:BP16" si="6">BO17+BO18+BO19+BO20+BO21+BO22+BO23+BO24+BO25+BO26+BO27+BO28</f>
        <v>162287061</v>
      </c>
      <c r="BP16" s="1214">
        <f t="shared" si="6"/>
        <v>564845.24125884299</v>
      </c>
      <c r="BQ16" s="1213">
        <f>BQ28</f>
        <v>16073962</v>
      </c>
      <c r="BR16" s="1213">
        <f>BR28</f>
        <v>13036</v>
      </c>
      <c r="BS16" s="1213">
        <f>BS28</f>
        <v>101341</v>
      </c>
      <c r="BU16" s="1453"/>
      <c r="BV16" s="1453"/>
    </row>
    <row r="17" spans="1:74" s="190" customFormat="1" ht="11.85" customHeight="1">
      <c r="A17" s="597" t="s">
        <v>576</v>
      </c>
      <c r="B17" s="597">
        <v>1235753</v>
      </c>
      <c r="C17" s="871">
        <v>164576.45775991795</v>
      </c>
      <c r="D17" s="597">
        <v>36053</v>
      </c>
      <c r="E17" s="871">
        <v>579.05490550700006</v>
      </c>
      <c r="F17" s="597">
        <v>1271806</v>
      </c>
      <c r="G17" s="871">
        <v>165155.51266542493</v>
      </c>
      <c r="H17" s="597">
        <v>18032049</v>
      </c>
      <c r="I17" s="871">
        <v>43678.712935484989</v>
      </c>
      <c r="J17" s="597">
        <v>294229</v>
      </c>
      <c r="K17" s="871">
        <v>300.588309487</v>
      </c>
      <c r="L17" s="597">
        <v>847</v>
      </c>
      <c r="M17" s="871">
        <v>1.9677314247499997</v>
      </c>
      <c r="N17" s="597">
        <v>1132758</v>
      </c>
      <c r="O17" s="871">
        <v>764.40335136499993</v>
      </c>
      <c r="P17" s="597">
        <v>64148</v>
      </c>
      <c r="Q17" s="871">
        <v>40.001898201599992</v>
      </c>
      <c r="R17" s="597">
        <v>667093</v>
      </c>
      <c r="S17" s="871">
        <v>338.28088036700001</v>
      </c>
      <c r="T17" s="597">
        <v>86982</v>
      </c>
      <c r="U17" s="871">
        <v>41.314262066199987</v>
      </c>
      <c r="V17" s="597">
        <v>2246057</v>
      </c>
      <c r="W17" s="871">
        <v>1486.5564329115498</v>
      </c>
      <c r="X17" s="871">
        <v>6333.6870533660003</v>
      </c>
      <c r="Y17" s="597" t="s">
        <v>576</v>
      </c>
      <c r="Z17" s="597">
        <v>20138764</v>
      </c>
      <c r="AA17" s="871">
        <v>20998.805196596993</v>
      </c>
      <c r="AB17" s="597">
        <v>1014</v>
      </c>
      <c r="AC17" s="871">
        <v>2.7403223640000007</v>
      </c>
      <c r="AD17" s="597">
        <v>1133274</v>
      </c>
      <c r="AE17" s="871">
        <v>462.15950501500009</v>
      </c>
      <c r="AF17" s="597">
        <v>13333</v>
      </c>
      <c r="AG17" s="871">
        <v>3.6725846579999999</v>
      </c>
      <c r="AH17" s="597">
        <v>1472570</v>
      </c>
      <c r="AI17" s="871">
        <v>308.47598892999997</v>
      </c>
      <c r="AJ17" s="597">
        <v>32645</v>
      </c>
      <c r="AK17" s="871">
        <v>8.0919102790000004</v>
      </c>
      <c r="AL17" s="597">
        <v>22791600</v>
      </c>
      <c r="AM17" s="871">
        <v>21783.945507842993</v>
      </c>
      <c r="AN17" s="597">
        <v>297771</v>
      </c>
      <c r="AO17" s="871">
        <v>206.25381715699999</v>
      </c>
      <c r="AP17" s="597">
        <v>78911</v>
      </c>
      <c r="AQ17" s="871">
        <v>20.347541959699999</v>
      </c>
      <c r="AR17" s="597">
        <v>71808</v>
      </c>
      <c r="AS17" s="871">
        <v>86.600750000000005</v>
      </c>
      <c r="AT17" s="597">
        <v>61708</v>
      </c>
      <c r="AU17" s="871">
        <v>56.490720589700011</v>
      </c>
      <c r="AV17" s="597">
        <v>54390</v>
      </c>
      <c r="AW17" s="871">
        <v>20.574379321999999</v>
      </c>
      <c r="AX17" s="597" t="s">
        <v>576</v>
      </c>
      <c r="AY17" s="597">
        <v>187906</v>
      </c>
      <c r="AZ17" s="871">
        <v>163.66584991170001</v>
      </c>
      <c r="BA17" s="597">
        <v>25602245</v>
      </c>
      <c r="BB17" s="871">
        <v>23660.769149782947</v>
      </c>
      <c r="BC17" s="597">
        <v>1737932</v>
      </c>
      <c r="BD17" s="597">
        <v>23620886</v>
      </c>
      <c r="BE17" s="597">
        <v>954673</v>
      </c>
      <c r="BF17" s="597">
        <v>26313491</v>
      </c>
      <c r="BG17" s="597">
        <v>3822834</v>
      </c>
      <c r="BH17" s="597">
        <v>3700893</v>
      </c>
      <c r="BI17" s="871">
        <v>12768.772168597019</v>
      </c>
      <c r="BJ17" s="597">
        <v>1395455</v>
      </c>
      <c r="BK17" s="597">
        <v>381554769</v>
      </c>
      <c r="BL17" s="871">
        <v>77645.904801523386</v>
      </c>
      <c r="BM17" s="597">
        <v>156026369</v>
      </c>
      <c r="BN17" s="597">
        <v>13086</v>
      </c>
      <c r="BO17" s="597">
        <v>11150939</v>
      </c>
      <c r="BP17" s="871">
        <v>32523.180197034995</v>
      </c>
      <c r="BQ17" s="597">
        <v>12360576</v>
      </c>
      <c r="BR17" s="597">
        <v>12367</v>
      </c>
      <c r="BS17" s="597">
        <v>82449</v>
      </c>
      <c r="BT17" s="1348"/>
      <c r="BU17" s="1453"/>
      <c r="BV17" s="1453"/>
    </row>
    <row r="18" spans="1:74" s="190" customFormat="1" ht="11.85" customHeight="1">
      <c r="A18" s="874" t="s">
        <v>577</v>
      </c>
      <c r="B18" s="874">
        <v>1579424</v>
      </c>
      <c r="C18" s="873">
        <v>186297.57348331407</v>
      </c>
      <c r="D18" s="874">
        <v>34371</v>
      </c>
      <c r="E18" s="873">
        <v>501.17102826299998</v>
      </c>
      <c r="F18" s="874">
        <v>1613795</v>
      </c>
      <c r="G18" s="873">
        <v>186798.74451157707</v>
      </c>
      <c r="H18" s="874">
        <v>7390816</v>
      </c>
      <c r="I18" s="873">
        <v>43265.959765079009</v>
      </c>
      <c r="J18" s="874">
        <v>325301</v>
      </c>
      <c r="K18" s="873">
        <v>310.13119354400004</v>
      </c>
      <c r="L18" s="874">
        <v>1231</v>
      </c>
      <c r="M18" s="873">
        <v>2.9093899204500002</v>
      </c>
      <c r="N18" s="874">
        <v>1514289</v>
      </c>
      <c r="O18" s="873">
        <v>910.93181396099988</v>
      </c>
      <c r="P18" s="874">
        <v>83055</v>
      </c>
      <c r="Q18" s="873">
        <v>58.238596877979994</v>
      </c>
      <c r="R18" s="874">
        <v>713283</v>
      </c>
      <c r="S18" s="873">
        <v>342.35376229100007</v>
      </c>
      <c r="T18" s="874">
        <v>132832</v>
      </c>
      <c r="U18" s="873">
        <v>49.865668044929997</v>
      </c>
      <c r="V18" s="874">
        <v>2769991</v>
      </c>
      <c r="W18" s="873">
        <v>1674.4304246393599</v>
      </c>
      <c r="X18" s="873">
        <v>6399.2341710999999</v>
      </c>
      <c r="Y18" s="874" t="s">
        <v>577</v>
      </c>
      <c r="Z18" s="874">
        <v>20150016</v>
      </c>
      <c r="AA18" s="873">
        <v>20057.503033057001</v>
      </c>
      <c r="AB18" s="874">
        <v>1487</v>
      </c>
      <c r="AC18" s="873">
        <v>3.8668276523999996</v>
      </c>
      <c r="AD18" s="874">
        <v>1403366</v>
      </c>
      <c r="AE18" s="873">
        <v>536.75395848499988</v>
      </c>
      <c r="AF18" s="874">
        <v>14451</v>
      </c>
      <c r="AG18" s="873">
        <v>6.1575962190000002</v>
      </c>
      <c r="AH18" s="874">
        <v>1662218</v>
      </c>
      <c r="AI18" s="873">
        <v>317.43341209199997</v>
      </c>
      <c r="AJ18" s="874">
        <v>43558</v>
      </c>
      <c r="AK18" s="873">
        <v>13.076872040000001</v>
      </c>
      <c r="AL18" s="874">
        <v>23275096</v>
      </c>
      <c r="AM18" s="873">
        <v>20934.7916995454</v>
      </c>
      <c r="AN18" s="874">
        <v>254584</v>
      </c>
      <c r="AO18" s="873">
        <v>151.379186557</v>
      </c>
      <c r="AP18" s="874">
        <v>127676</v>
      </c>
      <c r="AQ18" s="873">
        <v>28.13007499255</v>
      </c>
      <c r="AR18" s="874">
        <v>73231</v>
      </c>
      <c r="AS18" s="873">
        <v>81.590330000000009</v>
      </c>
      <c r="AT18" s="874">
        <v>86062</v>
      </c>
      <c r="AU18" s="873">
        <v>68.906508597999988</v>
      </c>
      <c r="AV18" s="874">
        <v>60255</v>
      </c>
      <c r="AW18" s="873">
        <v>18.905738992999996</v>
      </c>
      <c r="AX18" s="874" t="s">
        <v>577</v>
      </c>
      <c r="AY18" s="874">
        <v>219548</v>
      </c>
      <c r="AZ18" s="873">
        <v>169.40257759100001</v>
      </c>
      <c r="BA18" s="874">
        <v>26646895</v>
      </c>
      <c r="BB18" s="873">
        <v>22958.133963325308</v>
      </c>
      <c r="BC18" s="874">
        <v>1746763</v>
      </c>
      <c r="BD18" s="874">
        <v>23865558</v>
      </c>
      <c r="BE18" s="874">
        <v>981158</v>
      </c>
      <c r="BF18" s="874">
        <v>26593479</v>
      </c>
      <c r="BG18" s="874">
        <v>3912195</v>
      </c>
      <c r="BH18" s="874">
        <v>3611919</v>
      </c>
      <c r="BI18" s="873">
        <v>15281.318395811677</v>
      </c>
      <c r="BJ18" s="874">
        <v>1421933</v>
      </c>
      <c r="BK18" s="874">
        <v>369127935</v>
      </c>
      <c r="BL18" s="873">
        <v>71229.455459309</v>
      </c>
      <c r="BM18" s="874">
        <v>159013728</v>
      </c>
      <c r="BN18" s="874">
        <v>13160</v>
      </c>
      <c r="BO18" s="874">
        <v>10557594</v>
      </c>
      <c r="BP18" s="873">
        <v>37512.935063650984</v>
      </c>
      <c r="BQ18" s="874">
        <v>12605017</v>
      </c>
      <c r="BR18" s="874">
        <v>12425</v>
      </c>
      <c r="BS18" s="874">
        <v>83541</v>
      </c>
      <c r="BT18" s="1348"/>
      <c r="BU18" s="1453"/>
      <c r="BV18" s="1453"/>
    </row>
    <row r="19" spans="1:74" s="190" customFormat="1" ht="11.85" customHeight="1">
      <c r="A19" s="1216" t="s">
        <v>571</v>
      </c>
      <c r="B19" s="1216">
        <v>1903419</v>
      </c>
      <c r="C19" s="1217">
        <v>221194.79354262009</v>
      </c>
      <c r="D19" s="1216">
        <v>33888</v>
      </c>
      <c r="E19" s="1217">
        <v>450.01962168700004</v>
      </c>
      <c r="F19" s="597">
        <v>1937307</v>
      </c>
      <c r="G19" s="871">
        <v>221644.8131643071</v>
      </c>
      <c r="H19" s="1216">
        <v>7742407</v>
      </c>
      <c r="I19" s="1217">
        <v>44162.872666120005</v>
      </c>
      <c r="J19" s="1216">
        <v>367674</v>
      </c>
      <c r="K19" s="1217">
        <v>348.42900098199999</v>
      </c>
      <c r="L19" s="1216">
        <v>1629</v>
      </c>
      <c r="M19" s="1217">
        <v>3.3075337561499993</v>
      </c>
      <c r="N19" s="1216">
        <v>1711870</v>
      </c>
      <c r="O19" s="1217">
        <v>1028.9352436929998</v>
      </c>
      <c r="P19" s="1216">
        <v>99209</v>
      </c>
      <c r="Q19" s="1217">
        <v>69.841649383600014</v>
      </c>
      <c r="R19" s="1216">
        <v>716343</v>
      </c>
      <c r="S19" s="1217">
        <v>338.34500423399999</v>
      </c>
      <c r="T19" s="1216">
        <v>134671</v>
      </c>
      <c r="U19" s="1217">
        <v>50.838815874200009</v>
      </c>
      <c r="V19" s="1216">
        <v>3031396</v>
      </c>
      <c r="W19" s="1217">
        <v>1839.6972479229501</v>
      </c>
      <c r="X19" s="1217">
        <v>6510.771159455001</v>
      </c>
      <c r="Y19" s="1216" t="s">
        <v>571</v>
      </c>
      <c r="Z19" s="1216">
        <v>21480577</v>
      </c>
      <c r="AA19" s="1217">
        <v>21567.728490091009</v>
      </c>
      <c r="AB19" s="1216">
        <v>1705</v>
      </c>
      <c r="AC19" s="1217">
        <v>4.382979132</v>
      </c>
      <c r="AD19" s="1216">
        <v>1635362</v>
      </c>
      <c r="AE19" s="1217">
        <v>606.62209117299994</v>
      </c>
      <c r="AF19" s="1216">
        <v>18459</v>
      </c>
      <c r="AG19" s="1217">
        <v>7.9610742480000001</v>
      </c>
      <c r="AH19" s="1216">
        <v>1627735</v>
      </c>
      <c r="AI19" s="1217">
        <v>320.43006781899999</v>
      </c>
      <c r="AJ19" s="1216">
        <v>50840</v>
      </c>
      <c r="AK19" s="1217">
        <v>15.041898937000001</v>
      </c>
      <c r="AL19" s="1216">
        <v>24814678</v>
      </c>
      <c r="AM19" s="1217">
        <v>22522.166601400011</v>
      </c>
      <c r="AN19" s="1216">
        <v>269985</v>
      </c>
      <c r="AO19" s="1217">
        <v>165.85792895100002</v>
      </c>
      <c r="AP19" s="1216">
        <v>147487</v>
      </c>
      <c r="AQ19" s="1217">
        <v>33.176860486999999</v>
      </c>
      <c r="AR19" s="1216">
        <v>82886</v>
      </c>
      <c r="AS19" s="1217">
        <v>94.058159999999987</v>
      </c>
      <c r="AT19" s="1216">
        <v>97056</v>
      </c>
      <c r="AU19" s="1217">
        <v>73.45076796699999</v>
      </c>
      <c r="AV19" s="1216">
        <v>54706</v>
      </c>
      <c r="AW19" s="1217">
        <v>17.147082269999999</v>
      </c>
      <c r="AX19" s="1556" t="s">
        <v>2491</v>
      </c>
      <c r="AY19" s="1216">
        <v>234648</v>
      </c>
      <c r="AZ19" s="1217">
        <v>184.65601023699998</v>
      </c>
      <c r="BA19" s="1216">
        <v>28498194</v>
      </c>
      <c r="BB19" s="1217">
        <v>24745.554648997964</v>
      </c>
      <c r="BC19" s="1216">
        <v>1762978</v>
      </c>
      <c r="BD19" s="1216">
        <v>24225164</v>
      </c>
      <c r="BE19" s="1216">
        <v>1026580</v>
      </c>
      <c r="BF19" s="1216">
        <v>27014722</v>
      </c>
      <c r="BG19" s="1216">
        <v>4025434</v>
      </c>
      <c r="BH19" s="1216">
        <v>3803453</v>
      </c>
      <c r="BI19" s="1217">
        <v>16864.3</v>
      </c>
      <c r="BJ19" s="1216">
        <v>1411192</v>
      </c>
      <c r="BK19" s="1216">
        <v>365210917</v>
      </c>
      <c r="BL19" s="1217">
        <v>74248.534020512001</v>
      </c>
      <c r="BM19" s="1216">
        <v>162095327</v>
      </c>
      <c r="BN19" s="1216">
        <v>13467</v>
      </c>
      <c r="BO19" s="1216">
        <v>11171328</v>
      </c>
      <c r="BP19" s="1217">
        <v>42370.153202788009</v>
      </c>
      <c r="BQ19" s="1216">
        <v>12911018</v>
      </c>
      <c r="BR19" s="1216">
        <v>12495</v>
      </c>
      <c r="BS19" s="1216">
        <v>85817</v>
      </c>
      <c r="BU19" s="1453"/>
      <c r="BV19" s="1453"/>
    </row>
    <row r="20" spans="1:74" s="190" customFormat="1" ht="11.85" customHeight="1">
      <c r="A20" s="1218" t="s">
        <v>578</v>
      </c>
      <c r="B20" s="1218">
        <v>1770888</v>
      </c>
      <c r="C20" s="1219">
        <v>202462.296492208</v>
      </c>
      <c r="D20" s="1218">
        <v>31558</v>
      </c>
      <c r="E20" s="1219">
        <v>3064.2088966939996</v>
      </c>
      <c r="F20" s="874">
        <v>1802446</v>
      </c>
      <c r="G20" s="873">
        <v>205526.50538890201</v>
      </c>
      <c r="H20" s="1218">
        <v>9220208</v>
      </c>
      <c r="I20" s="1219">
        <v>44494.459862921009</v>
      </c>
      <c r="J20" s="1218">
        <v>410394</v>
      </c>
      <c r="K20" s="1219">
        <v>398.26932622399994</v>
      </c>
      <c r="L20" s="1218">
        <v>3212</v>
      </c>
      <c r="M20" s="1219">
        <v>4.4196079291499997</v>
      </c>
      <c r="N20" s="1218">
        <v>1818705</v>
      </c>
      <c r="O20" s="1219">
        <v>1070.4054986859999</v>
      </c>
      <c r="P20" s="1218">
        <v>118797</v>
      </c>
      <c r="Q20" s="1219">
        <v>103.64007422159999</v>
      </c>
      <c r="R20" s="1218">
        <v>715865</v>
      </c>
      <c r="S20" s="1219">
        <v>329.02056945200002</v>
      </c>
      <c r="T20" s="1218">
        <v>136851</v>
      </c>
      <c r="U20" s="1219">
        <v>58.528025137499995</v>
      </c>
      <c r="V20" s="1218">
        <v>3203824</v>
      </c>
      <c r="W20" s="1219">
        <v>1964.2831016502496</v>
      </c>
      <c r="X20" s="1219">
        <v>6681.1284291169995</v>
      </c>
      <c r="Y20" s="1218" t="s">
        <v>578</v>
      </c>
      <c r="Z20" s="1218">
        <v>22281925</v>
      </c>
      <c r="AA20" s="1219">
        <v>22173.372455720004</v>
      </c>
      <c r="AB20" s="1218">
        <v>2245</v>
      </c>
      <c r="AC20" s="1219">
        <v>4.6866773630000003</v>
      </c>
      <c r="AD20" s="1218">
        <v>1721050</v>
      </c>
      <c r="AE20" s="1219">
        <v>632.31953849300021</v>
      </c>
      <c r="AF20" s="1218">
        <v>20411</v>
      </c>
      <c r="AG20" s="1219">
        <v>10.782154884000001</v>
      </c>
      <c r="AH20" s="1218">
        <v>1575736</v>
      </c>
      <c r="AI20" s="1219">
        <v>289.67312253599999</v>
      </c>
      <c r="AJ20" s="1218">
        <v>53655</v>
      </c>
      <c r="AK20" s="1219">
        <v>15.451374351999998</v>
      </c>
      <c r="AL20" s="1218">
        <v>25655022</v>
      </c>
      <c r="AM20" s="1219">
        <v>23126.285323348005</v>
      </c>
      <c r="AN20" s="1218">
        <v>274249</v>
      </c>
      <c r="AO20" s="1219">
        <v>167.31234587399993</v>
      </c>
      <c r="AP20" s="1218">
        <v>179532</v>
      </c>
      <c r="AQ20" s="1219">
        <v>33.897674557000002</v>
      </c>
      <c r="AR20" s="1218">
        <v>91683</v>
      </c>
      <c r="AS20" s="1219">
        <v>102.28888999999998</v>
      </c>
      <c r="AT20" s="1218">
        <v>113017</v>
      </c>
      <c r="AU20" s="1219">
        <v>88.977779075000015</v>
      </c>
      <c r="AV20" s="1218">
        <v>58722</v>
      </c>
      <c r="AW20" s="1219">
        <v>18.180474414999999</v>
      </c>
      <c r="AX20" s="1218" t="s">
        <v>578</v>
      </c>
      <c r="AY20" s="1218">
        <v>263422</v>
      </c>
      <c r="AZ20" s="1219">
        <v>209.44714348999997</v>
      </c>
      <c r="BA20" s="1218">
        <v>29576049</v>
      </c>
      <c r="BB20" s="1219">
        <v>25501.225588919257</v>
      </c>
      <c r="BC20" s="1218">
        <v>1779794</v>
      </c>
      <c r="BD20" s="1218">
        <v>24675363</v>
      </c>
      <c r="BE20" s="1218">
        <v>1075009</v>
      </c>
      <c r="BF20" s="1218">
        <v>27530166</v>
      </c>
      <c r="BG20" s="1218">
        <v>4158419</v>
      </c>
      <c r="BH20" s="1218">
        <v>4070877</v>
      </c>
      <c r="BI20" s="1219">
        <v>15558.281767685687</v>
      </c>
      <c r="BJ20" s="1218">
        <v>1431364</v>
      </c>
      <c r="BK20" s="1218">
        <v>376249253</v>
      </c>
      <c r="BL20" s="1219">
        <v>76725.320824984985</v>
      </c>
      <c r="BM20" s="1218">
        <v>164619367</v>
      </c>
      <c r="BN20" s="1218">
        <v>13591</v>
      </c>
      <c r="BO20" s="1218">
        <v>11513278</v>
      </c>
      <c r="BP20" s="1219">
        <v>42072.363378067996</v>
      </c>
      <c r="BQ20" s="1218">
        <v>13189535</v>
      </c>
      <c r="BR20" s="1218">
        <v>12567</v>
      </c>
      <c r="BS20" s="1218">
        <v>87417</v>
      </c>
      <c r="BU20" s="1455"/>
      <c r="BV20" s="1453"/>
    </row>
    <row r="21" spans="1:74" s="190" customFormat="1" ht="11.85" customHeight="1">
      <c r="A21" s="1216" t="s">
        <v>579</v>
      </c>
      <c r="B21" s="1216">
        <v>1900797</v>
      </c>
      <c r="C21" s="1217">
        <v>209510.19422118407</v>
      </c>
      <c r="D21" s="1216">
        <v>30722</v>
      </c>
      <c r="E21" s="1217">
        <v>377.05998358300002</v>
      </c>
      <c r="F21" s="597">
        <v>1931519</v>
      </c>
      <c r="G21" s="871">
        <v>209887.25420476706</v>
      </c>
      <c r="H21" s="1216">
        <v>15729267</v>
      </c>
      <c r="I21" s="1217">
        <v>46772.188545958001</v>
      </c>
      <c r="J21" s="1216">
        <v>460525</v>
      </c>
      <c r="K21" s="1217">
        <v>450.16549999200009</v>
      </c>
      <c r="L21" s="1216">
        <v>2678</v>
      </c>
      <c r="M21" s="1217">
        <v>5.3135209535500012</v>
      </c>
      <c r="N21" s="1216">
        <v>1840658</v>
      </c>
      <c r="O21" s="1217">
        <v>1075.8782230890001</v>
      </c>
      <c r="P21" s="1216">
        <v>128543</v>
      </c>
      <c r="Q21" s="1217">
        <v>118.01439479799998</v>
      </c>
      <c r="R21" s="1216">
        <v>800455</v>
      </c>
      <c r="S21" s="1217">
        <v>388.77463622399995</v>
      </c>
      <c r="T21" s="1216">
        <v>137349</v>
      </c>
      <c r="U21" s="1217">
        <v>54.248931625400012</v>
      </c>
      <c r="V21" s="1216">
        <v>3370208</v>
      </c>
      <c r="W21" s="1217">
        <v>2092.3952066819502</v>
      </c>
      <c r="X21" s="1217">
        <v>6813.1702359789997</v>
      </c>
      <c r="Y21" s="1216" t="s">
        <v>579</v>
      </c>
      <c r="Z21" s="1216">
        <v>22693553</v>
      </c>
      <c r="AA21" s="1217">
        <v>22213.762971710006</v>
      </c>
      <c r="AB21" s="1216">
        <v>2884</v>
      </c>
      <c r="AC21" s="1217">
        <v>5.1887718899500008</v>
      </c>
      <c r="AD21" s="1216">
        <v>1778182</v>
      </c>
      <c r="AE21" s="1217">
        <v>641.12824451600011</v>
      </c>
      <c r="AF21" s="1216">
        <v>20491</v>
      </c>
      <c r="AG21" s="1217">
        <v>12.0646708816</v>
      </c>
      <c r="AH21" s="1216">
        <v>1611678</v>
      </c>
      <c r="AI21" s="1217">
        <v>291.37964958999999</v>
      </c>
      <c r="AJ21" s="1216">
        <v>49607</v>
      </c>
      <c r="AK21" s="1217">
        <v>14.993300797000002</v>
      </c>
      <c r="AL21" s="1216">
        <v>26156395</v>
      </c>
      <c r="AM21" s="1217">
        <v>23178.517609384551</v>
      </c>
      <c r="AN21" s="1216">
        <v>261658</v>
      </c>
      <c r="AO21" s="1217">
        <v>168.16993821999998</v>
      </c>
      <c r="AP21" s="1216">
        <v>138261</v>
      </c>
      <c r="AQ21" s="1217">
        <v>32.410279254849996</v>
      </c>
      <c r="AR21" s="1216">
        <v>95942</v>
      </c>
      <c r="AS21" s="1217">
        <v>106.47660999999997</v>
      </c>
      <c r="AT21" s="1216">
        <v>119123</v>
      </c>
      <c r="AU21" s="1217">
        <v>98.848366163999998</v>
      </c>
      <c r="AV21" s="1216">
        <v>57798</v>
      </c>
      <c r="AW21" s="1217">
        <v>20.043510759</v>
      </c>
      <c r="AX21" s="1216" t="s">
        <v>579</v>
      </c>
      <c r="AY21" s="1216">
        <v>272863</v>
      </c>
      <c r="AZ21" s="1217">
        <v>225.36848692299998</v>
      </c>
      <c r="BA21" s="1216">
        <v>30199385</v>
      </c>
      <c r="BB21" s="1217">
        <v>25696.86152046435</v>
      </c>
      <c r="BC21" s="1216">
        <v>1802876</v>
      </c>
      <c r="BD21" s="1216">
        <v>24999319</v>
      </c>
      <c r="BE21" s="1216">
        <v>1130272</v>
      </c>
      <c r="BF21" s="1216">
        <v>27932467</v>
      </c>
      <c r="BG21" s="1216">
        <v>4306170</v>
      </c>
      <c r="BH21" s="1216">
        <v>3983288</v>
      </c>
      <c r="BI21" s="1217">
        <v>17009.394527376</v>
      </c>
      <c r="BJ21" s="1216">
        <v>1388741</v>
      </c>
      <c r="BK21" s="1216">
        <v>376260335</v>
      </c>
      <c r="BL21" s="1217">
        <v>78584.118753516988</v>
      </c>
      <c r="BM21" s="1216">
        <v>167005492</v>
      </c>
      <c r="BN21" s="1216">
        <v>13753</v>
      </c>
      <c r="BO21" s="1216">
        <v>13846787</v>
      </c>
      <c r="BP21" s="1217">
        <v>45381.954389071994</v>
      </c>
      <c r="BQ21" s="1216">
        <v>13507106</v>
      </c>
      <c r="BR21" s="1216">
        <v>12652</v>
      </c>
      <c r="BS21" s="1216">
        <v>88776</v>
      </c>
      <c r="BU21" s="1453"/>
      <c r="BV21" s="1453"/>
    </row>
    <row r="22" spans="1:74" s="190" customFormat="1" ht="11.85" customHeight="1">
      <c r="A22" s="1218" t="s">
        <v>572</v>
      </c>
      <c r="B22" s="1218">
        <v>1922957</v>
      </c>
      <c r="C22" s="1219">
        <v>233537.99269770601</v>
      </c>
      <c r="D22" s="1218">
        <v>24812</v>
      </c>
      <c r="E22" s="1219">
        <v>253.40989335</v>
      </c>
      <c r="F22" s="874">
        <v>1947769</v>
      </c>
      <c r="G22" s="873">
        <v>233791.40259105602</v>
      </c>
      <c r="H22" s="1218">
        <v>9608390</v>
      </c>
      <c r="I22" s="1219">
        <v>47253.709872514999</v>
      </c>
      <c r="J22" s="1218">
        <v>487891</v>
      </c>
      <c r="K22" s="1219">
        <v>492.24236113000001</v>
      </c>
      <c r="L22" s="1218">
        <v>2750</v>
      </c>
      <c r="M22" s="1219">
        <v>4.9982394561999985</v>
      </c>
      <c r="N22" s="1218">
        <v>1948816</v>
      </c>
      <c r="O22" s="1219">
        <v>1175.7723725399999</v>
      </c>
      <c r="P22" s="1218">
        <v>125114</v>
      </c>
      <c r="Q22" s="1219">
        <v>114.93624128869999</v>
      </c>
      <c r="R22" s="1218">
        <v>778310</v>
      </c>
      <c r="S22" s="1219">
        <v>385.99476495900012</v>
      </c>
      <c r="T22" s="1218">
        <v>128991</v>
      </c>
      <c r="U22" s="1219">
        <v>55.036242900650002</v>
      </c>
      <c r="V22" s="1218">
        <v>3471872</v>
      </c>
      <c r="W22" s="1219">
        <v>2228.9802222745502</v>
      </c>
      <c r="X22" s="1219">
        <v>6944.243368677</v>
      </c>
      <c r="Y22" s="1218" t="s">
        <v>572</v>
      </c>
      <c r="Z22" s="1218">
        <v>23517987</v>
      </c>
      <c r="AA22" s="1219">
        <v>23320.486913219996</v>
      </c>
      <c r="AB22" s="1218">
        <v>4305</v>
      </c>
      <c r="AC22" s="1219">
        <v>8.4184159550000004</v>
      </c>
      <c r="AD22" s="1218">
        <v>1843500</v>
      </c>
      <c r="AE22" s="1219">
        <v>682.11068501399973</v>
      </c>
      <c r="AF22" s="1218">
        <v>24630</v>
      </c>
      <c r="AG22" s="1219">
        <v>12.770804625999999</v>
      </c>
      <c r="AH22" s="1218">
        <v>1659356</v>
      </c>
      <c r="AI22" s="1219">
        <v>314.22435338699995</v>
      </c>
      <c r="AJ22" s="1218">
        <v>67243</v>
      </c>
      <c r="AK22" s="1219">
        <v>18.960791286999999</v>
      </c>
      <c r="AL22" s="1218">
        <v>27117021</v>
      </c>
      <c r="AM22" s="1219">
        <v>24356.971963488995</v>
      </c>
      <c r="AN22" s="1218">
        <v>272921</v>
      </c>
      <c r="AO22" s="1219">
        <v>179.93944547699999</v>
      </c>
      <c r="AP22" s="1218">
        <v>138215</v>
      </c>
      <c r="AQ22" s="1219">
        <v>35.037691775550002</v>
      </c>
      <c r="AR22" s="1218">
        <v>125251</v>
      </c>
      <c r="AS22" s="1219">
        <v>136.04496</v>
      </c>
      <c r="AT22" s="1218">
        <v>147881</v>
      </c>
      <c r="AU22" s="1219">
        <v>118.28893613720001</v>
      </c>
      <c r="AV22" s="1218">
        <v>48693</v>
      </c>
      <c r="AW22" s="1219">
        <v>19.323091163999997</v>
      </c>
      <c r="AX22" s="1218" t="s">
        <v>572</v>
      </c>
      <c r="AY22" s="1218">
        <v>321825</v>
      </c>
      <c r="AZ22" s="1219">
        <v>273.65698730119999</v>
      </c>
      <c r="BA22" s="1248">
        <v>31321854</v>
      </c>
      <c r="BB22" s="1219">
        <v>27074.586310317296</v>
      </c>
      <c r="BC22" s="1218">
        <v>1833242</v>
      </c>
      <c r="BD22" s="1218">
        <v>25285859</v>
      </c>
      <c r="BE22" s="1218">
        <v>1154901</v>
      </c>
      <c r="BF22" s="1218">
        <v>28274002</v>
      </c>
      <c r="BG22" s="1218">
        <v>4439938</v>
      </c>
      <c r="BH22" s="1218">
        <v>4299401</v>
      </c>
      <c r="BI22" s="1219">
        <v>20558.932781705</v>
      </c>
      <c r="BJ22" s="1218">
        <v>1412767</v>
      </c>
      <c r="BK22" s="1218">
        <v>391636834</v>
      </c>
      <c r="BL22" s="1219">
        <v>81099.127387726723</v>
      </c>
      <c r="BM22" s="1218">
        <v>169722031</v>
      </c>
      <c r="BN22" s="1218">
        <v>13951</v>
      </c>
      <c r="BO22" s="1218">
        <v>13984633</v>
      </c>
      <c r="BP22" s="1219">
        <v>49139.286617982994</v>
      </c>
      <c r="BQ22" s="1218">
        <v>14047396</v>
      </c>
      <c r="BR22" s="1218">
        <v>12831</v>
      </c>
      <c r="BS22" s="1218">
        <v>92086</v>
      </c>
      <c r="BU22" s="1453"/>
      <c r="BV22" s="1453"/>
    </row>
    <row r="23" spans="1:74" s="190" customFormat="1" ht="11.85" customHeight="1">
      <c r="A23" s="1216" t="s">
        <v>580</v>
      </c>
      <c r="B23" s="1216">
        <v>1990096</v>
      </c>
      <c r="C23" s="1217">
        <v>219165.90039558904</v>
      </c>
      <c r="D23" s="1216">
        <v>21317</v>
      </c>
      <c r="E23" s="1217">
        <v>258.63001461700003</v>
      </c>
      <c r="F23" s="597">
        <v>2011413</v>
      </c>
      <c r="G23" s="871">
        <v>219424.53041020603</v>
      </c>
      <c r="H23" s="1216">
        <v>21069894</v>
      </c>
      <c r="I23" s="1217">
        <v>51636.257107776</v>
      </c>
      <c r="J23" s="1216">
        <v>491194</v>
      </c>
      <c r="K23" s="1217">
        <v>510.35974188900002</v>
      </c>
      <c r="L23" s="1216">
        <v>2114</v>
      </c>
      <c r="M23" s="1217">
        <v>4.0691324765500001</v>
      </c>
      <c r="N23" s="1216">
        <v>1939894</v>
      </c>
      <c r="O23" s="1217">
        <v>1115.9255265250001</v>
      </c>
      <c r="P23" s="1216">
        <v>106587</v>
      </c>
      <c r="Q23" s="1217">
        <v>91.704788560600008</v>
      </c>
      <c r="R23" s="1216">
        <v>765468</v>
      </c>
      <c r="S23" s="1217">
        <v>363.28983351299996</v>
      </c>
      <c r="T23" s="1216">
        <v>124135</v>
      </c>
      <c r="U23" s="1217">
        <v>53.029834403150005</v>
      </c>
      <c r="V23" s="1216">
        <v>3429392</v>
      </c>
      <c r="W23" s="1217">
        <v>2138.3788573673</v>
      </c>
      <c r="X23" s="1217">
        <v>6973.3305707179989</v>
      </c>
      <c r="Y23" s="1216" t="s">
        <v>580</v>
      </c>
      <c r="Z23" s="1216">
        <v>23522301</v>
      </c>
      <c r="AA23" s="1217">
        <v>23678.081140039998</v>
      </c>
      <c r="AB23" s="1216">
        <v>2951</v>
      </c>
      <c r="AC23" s="1217">
        <v>6.033788841999999</v>
      </c>
      <c r="AD23" s="1216">
        <v>1774600</v>
      </c>
      <c r="AE23" s="1217">
        <v>657.07922867399975</v>
      </c>
      <c r="AF23" s="1216">
        <v>24821</v>
      </c>
      <c r="AG23" s="1217">
        <v>11.921848470000002</v>
      </c>
      <c r="AH23" s="1216">
        <v>1723783</v>
      </c>
      <c r="AI23" s="1217">
        <v>331.02529038199998</v>
      </c>
      <c r="AJ23" s="1216">
        <v>60566</v>
      </c>
      <c r="AK23" s="1217">
        <v>16.844941899999998</v>
      </c>
      <c r="AL23" s="1216">
        <v>27109022</v>
      </c>
      <c r="AM23" s="1217">
        <v>24700.986238307996</v>
      </c>
      <c r="AN23" s="1216">
        <v>310991</v>
      </c>
      <c r="AO23" s="1217">
        <v>197.151202369</v>
      </c>
      <c r="AP23" s="1216">
        <v>130755</v>
      </c>
      <c r="AQ23" s="1217">
        <v>35.913391338500006</v>
      </c>
      <c r="AR23" s="1216">
        <v>110162</v>
      </c>
      <c r="AS23" s="1217">
        <v>125.07638</v>
      </c>
      <c r="AT23" s="1216">
        <v>151303</v>
      </c>
      <c r="AU23" s="1217">
        <v>120.026409368</v>
      </c>
      <c r="AV23" s="1216">
        <v>68009</v>
      </c>
      <c r="AW23" s="1217">
        <v>24.168185911999998</v>
      </c>
      <c r="AX23" s="1216" t="s">
        <v>580</v>
      </c>
      <c r="AY23" s="1216">
        <v>329474</v>
      </c>
      <c r="AZ23" s="1217">
        <v>269.27097528000002</v>
      </c>
      <c r="BA23" s="1256">
        <v>31309634</v>
      </c>
      <c r="BB23" s="1217">
        <v>27341.7006646628</v>
      </c>
      <c r="BC23" s="1216">
        <v>1847534</v>
      </c>
      <c r="BD23" s="1216">
        <v>25574668</v>
      </c>
      <c r="BE23" s="1216">
        <v>1198452</v>
      </c>
      <c r="BF23" s="1216">
        <v>28620654</v>
      </c>
      <c r="BG23" s="1216">
        <v>4554785</v>
      </c>
      <c r="BH23" s="1216">
        <v>4552127</v>
      </c>
      <c r="BI23" s="1217">
        <v>18623.21254036</v>
      </c>
      <c r="BJ23" s="1216">
        <v>1429850</v>
      </c>
      <c r="BK23" s="1216">
        <v>408094514</v>
      </c>
      <c r="BL23" s="1217">
        <v>84783.405832185017</v>
      </c>
      <c r="BM23" s="1216">
        <v>173267972</v>
      </c>
      <c r="BN23" s="1216">
        <v>14081</v>
      </c>
      <c r="BO23" s="1216">
        <v>14755323</v>
      </c>
      <c r="BP23" s="1217">
        <v>52121.882127140998</v>
      </c>
      <c r="BQ23" s="1216">
        <v>14416227</v>
      </c>
      <c r="BR23" s="1216">
        <v>12864</v>
      </c>
      <c r="BS23" s="1216">
        <v>93662</v>
      </c>
      <c r="BU23" s="1453"/>
      <c r="BV23" s="1453"/>
    </row>
    <row r="24" spans="1:74" s="190" customFormat="1" ht="11.85" customHeight="1">
      <c r="A24" s="1218" t="s">
        <v>581</v>
      </c>
      <c r="B24" s="1218">
        <v>1806600</v>
      </c>
      <c r="C24" s="1219">
        <v>199140.02320160103</v>
      </c>
      <c r="D24" s="1218">
        <v>19114</v>
      </c>
      <c r="E24" s="1219">
        <v>205.67148592800001</v>
      </c>
      <c r="F24" s="874">
        <v>1825714</v>
      </c>
      <c r="G24" s="873">
        <v>199345.69468752903</v>
      </c>
      <c r="H24" s="1218">
        <v>10139310</v>
      </c>
      <c r="I24" s="1219">
        <v>41696.002652573006</v>
      </c>
      <c r="J24" s="1218">
        <v>477083</v>
      </c>
      <c r="K24" s="1219">
        <v>500.26342062999998</v>
      </c>
      <c r="L24" s="1218">
        <v>2008</v>
      </c>
      <c r="M24" s="1219">
        <v>3.5663784979000002</v>
      </c>
      <c r="N24" s="1218">
        <v>1816328</v>
      </c>
      <c r="O24" s="1219">
        <v>1046.7114541789999</v>
      </c>
      <c r="P24" s="1218">
        <v>99307</v>
      </c>
      <c r="Q24" s="1219">
        <v>149.47875566600001</v>
      </c>
      <c r="R24" s="1218">
        <v>734540</v>
      </c>
      <c r="S24" s="1219">
        <v>362.73004696500004</v>
      </c>
      <c r="T24" s="1218">
        <v>120498</v>
      </c>
      <c r="U24" s="1219">
        <v>46.018207770199993</v>
      </c>
      <c r="V24" s="1218">
        <v>3249764</v>
      </c>
      <c r="W24" s="1219">
        <v>2108.7682637081002</v>
      </c>
      <c r="X24" s="1219">
        <v>6424.9402682709997</v>
      </c>
      <c r="Y24" s="1218" t="s">
        <v>581</v>
      </c>
      <c r="Z24" s="1218">
        <v>22247507</v>
      </c>
      <c r="AA24" s="1219">
        <v>23466.763830510008</v>
      </c>
      <c r="AB24" s="1218">
        <v>2820</v>
      </c>
      <c r="AC24" s="1219">
        <v>6.1233303190000008</v>
      </c>
      <c r="AD24" s="1218">
        <v>1686544</v>
      </c>
      <c r="AE24" s="1219">
        <v>614.12309256200012</v>
      </c>
      <c r="AF24" s="1218">
        <v>20590</v>
      </c>
      <c r="AG24" s="1219">
        <v>10.262331951000002</v>
      </c>
      <c r="AH24" s="1218">
        <v>1751832</v>
      </c>
      <c r="AI24" s="1219">
        <v>300.91682441199998</v>
      </c>
      <c r="AJ24" s="1218">
        <v>50104</v>
      </c>
      <c r="AK24" s="1219">
        <v>12.549144401000001</v>
      </c>
      <c r="AL24" s="1218">
        <v>25759397</v>
      </c>
      <c r="AM24" s="1219">
        <v>24410.738554155007</v>
      </c>
      <c r="AN24" s="1218">
        <v>282637</v>
      </c>
      <c r="AO24" s="1219">
        <v>179.78879113399998</v>
      </c>
      <c r="AP24" s="1218">
        <v>130996</v>
      </c>
      <c r="AQ24" s="1219">
        <v>28.220984095399999</v>
      </c>
      <c r="AR24" s="1218">
        <v>108615</v>
      </c>
      <c r="AS24" s="1219">
        <v>124.86241000000003</v>
      </c>
      <c r="AT24" s="1218">
        <v>111261</v>
      </c>
      <c r="AU24" s="1219">
        <v>92.746632691000002</v>
      </c>
      <c r="AV24" s="1218">
        <v>59855</v>
      </c>
      <c r="AW24" s="1219">
        <v>20.445061199999998</v>
      </c>
      <c r="AX24" s="1218" t="s">
        <v>581</v>
      </c>
      <c r="AY24" s="1218">
        <v>279731</v>
      </c>
      <c r="AZ24" s="1219">
        <v>238.05410389100001</v>
      </c>
      <c r="BA24" s="1248">
        <v>29702525</v>
      </c>
      <c r="BB24" s="1219">
        <v>26965.570696983508</v>
      </c>
      <c r="BC24" s="1218">
        <v>1869149</v>
      </c>
      <c r="BD24" s="1218">
        <v>25980681</v>
      </c>
      <c r="BE24" s="1218">
        <v>1346291</v>
      </c>
      <c r="BF24" s="1218">
        <v>29196121</v>
      </c>
      <c r="BG24" s="1218">
        <v>4699459</v>
      </c>
      <c r="BH24" s="1218">
        <v>4496931</v>
      </c>
      <c r="BI24" s="1219">
        <v>17763.2963156888</v>
      </c>
      <c r="BJ24" s="1218">
        <v>1445537</v>
      </c>
      <c r="BK24" s="1218">
        <v>368643121</v>
      </c>
      <c r="BL24" s="1219">
        <v>78545.215144922986</v>
      </c>
      <c r="BM24" s="1218">
        <v>176274230</v>
      </c>
      <c r="BN24" s="1218">
        <v>14168</v>
      </c>
      <c r="BO24" s="1218">
        <v>13291184</v>
      </c>
      <c r="BP24" s="1219">
        <v>47055.907916987999</v>
      </c>
      <c r="BQ24" s="1218">
        <v>14777744</v>
      </c>
      <c r="BR24" s="1218">
        <v>12890</v>
      </c>
      <c r="BS24" s="1218">
        <v>95037</v>
      </c>
      <c r="BU24" s="1453"/>
      <c r="BV24" s="1453"/>
    </row>
    <row r="25" spans="1:74" s="190" customFormat="1" ht="11.85" customHeight="1">
      <c r="A25" s="1216" t="s">
        <v>573</v>
      </c>
      <c r="B25" s="1216">
        <v>2062183</v>
      </c>
      <c r="C25" s="1217">
        <v>235693.90227961095</v>
      </c>
      <c r="D25" s="1216">
        <v>19723</v>
      </c>
      <c r="E25" s="1217">
        <v>245.09898253000003</v>
      </c>
      <c r="F25" s="597">
        <v>2081906</v>
      </c>
      <c r="G25" s="871">
        <v>235939.00126214096</v>
      </c>
      <c r="H25" s="1216">
        <v>9793064</v>
      </c>
      <c r="I25" s="1217">
        <v>48129.23460851</v>
      </c>
      <c r="J25" s="1216">
        <v>568319</v>
      </c>
      <c r="K25" s="1217">
        <v>602.64428060199998</v>
      </c>
      <c r="L25" s="1216">
        <v>3198</v>
      </c>
      <c r="M25" s="1217">
        <v>5.5097845210500003</v>
      </c>
      <c r="N25" s="1216">
        <v>2110834</v>
      </c>
      <c r="O25" s="1217">
        <v>1283.128545454</v>
      </c>
      <c r="P25" s="1216">
        <v>151038</v>
      </c>
      <c r="Q25" s="1217">
        <v>144.39232870904999</v>
      </c>
      <c r="R25" s="1216">
        <v>825736</v>
      </c>
      <c r="S25" s="1217">
        <v>424.276372503</v>
      </c>
      <c r="T25" s="1216">
        <v>139082</v>
      </c>
      <c r="U25" s="1217">
        <v>53.492265069279995</v>
      </c>
      <c r="V25" s="1216">
        <v>3798207</v>
      </c>
      <c r="W25" s="1217">
        <v>2513.4435768583803</v>
      </c>
      <c r="X25" s="1217">
        <v>7220.9246867484981</v>
      </c>
      <c r="Y25" s="1216" t="s">
        <v>573</v>
      </c>
      <c r="Z25" s="1216">
        <v>26191120</v>
      </c>
      <c r="AA25" s="1217">
        <v>27276.259342900001</v>
      </c>
      <c r="AB25" s="1216">
        <v>4567</v>
      </c>
      <c r="AC25" s="1217">
        <v>9.2153516907499995</v>
      </c>
      <c r="AD25" s="1216">
        <v>1930735</v>
      </c>
      <c r="AE25" s="1217">
        <v>706.92674061100001</v>
      </c>
      <c r="AF25" s="1216">
        <v>31593</v>
      </c>
      <c r="AG25" s="1217">
        <v>17.186154825799999</v>
      </c>
      <c r="AH25" s="1216">
        <v>2171499</v>
      </c>
      <c r="AI25" s="1217">
        <v>349.37163641999996</v>
      </c>
      <c r="AJ25" s="1216">
        <v>64594</v>
      </c>
      <c r="AK25" s="1217">
        <v>16.055369583000001</v>
      </c>
      <c r="AL25" s="1216">
        <v>30394108</v>
      </c>
      <c r="AM25" s="1217">
        <v>28375.014596030549</v>
      </c>
      <c r="AN25" s="1216">
        <v>325406</v>
      </c>
      <c r="AO25" s="1217">
        <v>195.532636027</v>
      </c>
      <c r="AP25" s="1216">
        <v>136017</v>
      </c>
      <c r="AQ25" s="1217">
        <v>34.987395446250012</v>
      </c>
      <c r="AR25" s="1216">
        <v>121963</v>
      </c>
      <c r="AS25" s="1217">
        <v>139.86771000000002</v>
      </c>
      <c r="AT25" s="1216">
        <v>115842</v>
      </c>
      <c r="AU25" s="1217">
        <v>100.68839821200001</v>
      </c>
      <c r="AV25" s="1216">
        <v>66158</v>
      </c>
      <c r="AW25" s="1217">
        <v>29.032024819</v>
      </c>
      <c r="AX25" s="1216" t="s">
        <v>573</v>
      </c>
      <c r="AY25" s="1216">
        <v>303963</v>
      </c>
      <c r="AZ25" s="1217">
        <v>269.58813303100004</v>
      </c>
      <c r="BA25" s="1256">
        <v>34957701</v>
      </c>
      <c r="BB25" s="1217">
        <v>31388.566337393178</v>
      </c>
      <c r="BC25" s="1216">
        <v>1892324</v>
      </c>
      <c r="BD25" s="1216">
        <v>26447201</v>
      </c>
      <c r="BE25" s="1216">
        <v>1433849</v>
      </c>
      <c r="BF25" s="1216">
        <v>29773374</v>
      </c>
      <c r="BG25" s="1216">
        <v>4826551</v>
      </c>
      <c r="BH25" s="1216">
        <v>5177824</v>
      </c>
      <c r="BI25" s="1217">
        <v>23140.752912447002</v>
      </c>
      <c r="BJ25" s="1216">
        <v>1465032</v>
      </c>
      <c r="BK25" s="1216">
        <v>413268681</v>
      </c>
      <c r="BL25" s="1217">
        <v>89076.988267832246</v>
      </c>
      <c r="BM25" s="1216">
        <v>170251728</v>
      </c>
      <c r="BN25" s="1216">
        <v>14170</v>
      </c>
      <c r="BO25" s="1216">
        <v>13934578</v>
      </c>
      <c r="BP25" s="1217">
        <v>56640.253514036012</v>
      </c>
      <c r="BQ25" s="1216">
        <v>15192980</v>
      </c>
      <c r="BR25" s="1216">
        <v>12932</v>
      </c>
      <c r="BS25" s="1216">
        <v>97750</v>
      </c>
      <c r="BU25" s="1453"/>
      <c r="BV25" s="1453"/>
    </row>
    <row r="26" spans="1:74" s="190" customFormat="1" ht="11.85" customHeight="1">
      <c r="A26" s="1218" t="s">
        <v>582</v>
      </c>
      <c r="B26" s="1218">
        <v>2013636</v>
      </c>
      <c r="C26" s="1219">
        <v>215315.97997527695</v>
      </c>
      <c r="D26" s="1218">
        <v>16735</v>
      </c>
      <c r="E26" s="1219">
        <v>224.90402825999999</v>
      </c>
      <c r="F26" s="874">
        <v>2030371</v>
      </c>
      <c r="G26" s="873">
        <v>215540.88400353695</v>
      </c>
      <c r="H26" s="1218">
        <v>25290758</v>
      </c>
      <c r="I26" s="1219">
        <v>57900.417136665987</v>
      </c>
      <c r="J26" s="1218">
        <v>581350</v>
      </c>
      <c r="K26" s="1219">
        <v>641.08152580799992</v>
      </c>
      <c r="L26" s="1218">
        <v>3107</v>
      </c>
      <c r="M26" s="1219">
        <v>5.5065769065000003</v>
      </c>
      <c r="N26" s="1218">
        <v>2438062</v>
      </c>
      <c r="O26" s="1219">
        <v>1467.2745668690002</v>
      </c>
      <c r="P26" s="1218">
        <v>131537</v>
      </c>
      <c r="Q26" s="1219">
        <v>108.41622018700001</v>
      </c>
      <c r="R26" s="1218">
        <v>812058</v>
      </c>
      <c r="S26" s="1219">
        <v>441.73219965600015</v>
      </c>
      <c r="T26" s="1218">
        <v>127881</v>
      </c>
      <c r="U26" s="1219">
        <v>51.270539345499991</v>
      </c>
      <c r="V26" s="1218">
        <v>4093995</v>
      </c>
      <c r="W26" s="1219">
        <v>2715.2816287719997</v>
      </c>
      <c r="X26" s="1219">
        <v>7771.0612769239997</v>
      </c>
      <c r="Y26" s="1218" t="s">
        <v>582</v>
      </c>
      <c r="Z26" s="1218">
        <v>29966687</v>
      </c>
      <c r="AA26" s="1219">
        <v>31921.739893860013</v>
      </c>
      <c r="AB26" s="1218">
        <v>5063</v>
      </c>
      <c r="AC26" s="1219">
        <v>10.834176455999998</v>
      </c>
      <c r="AD26" s="1218">
        <v>2418462</v>
      </c>
      <c r="AE26" s="1219">
        <v>929.53866834799999</v>
      </c>
      <c r="AF26" s="1218">
        <v>27978</v>
      </c>
      <c r="AG26" s="1219">
        <v>15.893282254000001</v>
      </c>
      <c r="AH26" s="1218">
        <v>2395616</v>
      </c>
      <c r="AI26" s="1219">
        <v>423.65200735300004</v>
      </c>
      <c r="AJ26" s="1218">
        <v>64979</v>
      </c>
      <c r="AK26" s="1219">
        <v>15.520207299000001</v>
      </c>
      <c r="AL26" s="1218">
        <v>34878785</v>
      </c>
      <c r="AM26" s="1219">
        <v>33317.178235570012</v>
      </c>
      <c r="AN26" s="1218">
        <v>416598</v>
      </c>
      <c r="AO26" s="1219">
        <v>276.28601649000007</v>
      </c>
      <c r="AP26" s="1218">
        <v>127761</v>
      </c>
      <c r="AQ26" s="1219">
        <v>33.521259824500007</v>
      </c>
      <c r="AR26" s="1218">
        <v>128818</v>
      </c>
      <c r="AS26" s="1219">
        <v>146.80036000000001</v>
      </c>
      <c r="AT26" s="1218">
        <v>110497</v>
      </c>
      <c r="AU26" s="1219">
        <v>90.99957950915001</v>
      </c>
      <c r="AV26" s="1218">
        <v>72122</v>
      </c>
      <c r="AW26" s="1219">
        <v>33.259707679999998</v>
      </c>
      <c r="AX26" s="1218" t="s">
        <v>582</v>
      </c>
      <c r="AY26" s="1218">
        <v>311437</v>
      </c>
      <c r="AZ26" s="1219">
        <v>271.05964718915004</v>
      </c>
      <c r="BA26" s="1248">
        <v>39828576</v>
      </c>
      <c r="BB26" s="1219">
        <v>36613.326787845654</v>
      </c>
      <c r="BC26" s="1218">
        <v>1922273</v>
      </c>
      <c r="BD26" s="1218">
        <v>26790235</v>
      </c>
      <c r="BE26" s="1218">
        <v>1547578</v>
      </c>
      <c r="BF26" s="1218">
        <v>30260086</v>
      </c>
      <c r="BG26" s="1218">
        <v>4924682</v>
      </c>
      <c r="BH26" s="1218">
        <v>5860722</v>
      </c>
      <c r="BI26" s="1219">
        <v>22957.597779653999</v>
      </c>
      <c r="BJ26" s="1218">
        <v>1482016</v>
      </c>
      <c r="BK26" s="1218">
        <v>444373921</v>
      </c>
      <c r="BL26" s="1219">
        <v>107460.3057010492</v>
      </c>
      <c r="BM26" s="1218">
        <v>172937294</v>
      </c>
      <c r="BN26" s="1218">
        <v>14188</v>
      </c>
      <c r="BO26" s="1218">
        <v>14189702</v>
      </c>
      <c r="BP26" s="1219">
        <v>53463.582995229997</v>
      </c>
      <c r="BQ26" s="1218">
        <v>15485570</v>
      </c>
      <c r="BR26" s="1218">
        <v>12948</v>
      </c>
      <c r="BS26" s="1218">
        <v>100170</v>
      </c>
      <c r="BU26" s="1453"/>
      <c r="BV26" s="1453"/>
    </row>
    <row r="27" spans="1:74" s="190" customFormat="1" ht="11.85" customHeight="1">
      <c r="A27" s="1216" t="s">
        <v>583</v>
      </c>
      <c r="B27" s="1216">
        <v>1569475</v>
      </c>
      <c r="C27" s="1217">
        <v>193495.74204772903</v>
      </c>
      <c r="D27" s="1216">
        <v>11898</v>
      </c>
      <c r="E27" s="1217">
        <v>169.58378911700001</v>
      </c>
      <c r="F27" s="597">
        <v>1581373</v>
      </c>
      <c r="G27" s="871">
        <v>193665.32583684602</v>
      </c>
      <c r="H27" s="1216">
        <v>14915428</v>
      </c>
      <c r="I27" s="1217">
        <v>44385.421638091</v>
      </c>
      <c r="J27" s="1216">
        <v>510585</v>
      </c>
      <c r="K27" s="1217">
        <v>540.93065202999992</v>
      </c>
      <c r="L27" s="1216">
        <v>5283</v>
      </c>
      <c r="M27" s="1217">
        <v>9.2570732881000009</v>
      </c>
      <c r="N27" s="1216">
        <v>2071700</v>
      </c>
      <c r="O27" s="1217">
        <v>1169.7114613849999</v>
      </c>
      <c r="P27" s="1216">
        <v>219953</v>
      </c>
      <c r="Q27" s="1217">
        <v>203.62548229349994</v>
      </c>
      <c r="R27" s="1216">
        <v>779690</v>
      </c>
      <c r="S27" s="1217">
        <v>392.54424229100005</v>
      </c>
      <c r="T27" s="1216">
        <v>138379</v>
      </c>
      <c r="U27" s="1217">
        <v>54.995213325400002</v>
      </c>
      <c r="V27" s="1216">
        <v>3725590</v>
      </c>
      <c r="W27" s="1217">
        <v>2371.0641246129999</v>
      </c>
      <c r="X27" s="1217">
        <v>7426.2714154025007</v>
      </c>
      <c r="Y27" s="1216" t="s">
        <v>583</v>
      </c>
      <c r="Z27" s="1216">
        <v>24998344</v>
      </c>
      <c r="AA27" s="1217">
        <v>24999.236244260002</v>
      </c>
      <c r="AB27" s="1216">
        <v>6919</v>
      </c>
      <c r="AC27" s="1217">
        <v>13.402153949999999</v>
      </c>
      <c r="AD27" s="1216">
        <v>1934867</v>
      </c>
      <c r="AE27" s="1217">
        <v>653.87248725299992</v>
      </c>
      <c r="AF27" s="1216">
        <v>34338</v>
      </c>
      <c r="AG27" s="1217">
        <v>24.650906749000001</v>
      </c>
      <c r="AH27" s="1216">
        <v>2145171</v>
      </c>
      <c r="AI27" s="1217">
        <v>343.96258948900009</v>
      </c>
      <c r="AJ27" s="1216">
        <v>66779</v>
      </c>
      <c r="AK27" s="1217">
        <v>15.710702869</v>
      </c>
      <c r="AL27" s="1216">
        <v>29186418</v>
      </c>
      <c r="AM27" s="1217">
        <v>26050.835084570004</v>
      </c>
      <c r="AN27" s="1216">
        <v>271703</v>
      </c>
      <c r="AO27" s="1217">
        <v>142.14219367699999</v>
      </c>
      <c r="AP27" s="1216">
        <v>114495</v>
      </c>
      <c r="AQ27" s="1217">
        <v>36.971001137800002</v>
      </c>
      <c r="AR27" s="1216">
        <v>68489</v>
      </c>
      <c r="AS27" s="1217">
        <v>78.811750000000004</v>
      </c>
      <c r="AT27" s="1216">
        <v>75535</v>
      </c>
      <c r="AU27" s="1217">
        <v>58.411440108499995</v>
      </c>
      <c r="AV27" s="1216">
        <v>66148</v>
      </c>
      <c r="AW27" s="1217">
        <v>28.062813043000002</v>
      </c>
      <c r="AX27" s="1216" t="s">
        <v>583</v>
      </c>
      <c r="AY27" s="1216">
        <v>210172</v>
      </c>
      <c r="AZ27" s="1217">
        <v>165.28600315150001</v>
      </c>
      <c r="BA27" s="1256">
        <v>33508378</v>
      </c>
      <c r="BB27" s="1217">
        <v>28766.298407149305</v>
      </c>
      <c r="BC27" s="1216">
        <v>1941162</v>
      </c>
      <c r="BD27" s="1216">
        <v>27169150</v>
      </c>
      <c r="BE27" s="1216">
        <v>1639290</v>
      </c>
      <c r="BF27" s="1216">
        <v>30749602</v>
      </c>
      <c r="BG27" s="1216">
        <v>5138554</v>
      </c>
      <c r="BH27" s="1216">
        <v>4819088</v>
      </c>
      <c r="BI27" s="1217">
        <v>20662.966513484997</v>
      </c>
      <c r="BJ27" s="1216">
        <v>1495856</v>
      </c>
      <c r="BK27" s="1216">
        <v>413216473</v>
      </c>
      <c r="BL27" s="1217">
        <v>76311.970791577754</v>
      </c>
      <c r="BM27" s="1216">
        <v>175769859</v>
      </c>
      <c r="BN27" s="1216">
        <v>14240</v>
      </c>
      <c r="BO27" s="1216">
        <v>14020406</v>
      </c>
      <c r="BP27" s="1217">
        <v>48028.707565219993</v>
      </c>
      <c r="BQ27" s="1216">
        <v>15720988</v>
      </c>
      <c r="BR27" s="1216">
        <v>12972</v>
      </c>
      <c r="BS27" s="1216">
        <v>101099</v>
      </c>
      <c r="BU27" s="1453"/>
      <c r="BV27" s="1453"/>
    </row>
    <row r="28" spans="1:74" s="190" customFormat="1" ht="11.85" customHeight="1">
      <c r="A28" s="1218" t="s">
        <v>574</v>
      </c>
      <c r="B28" s="1218">
        <v>2296445</v>
      </c>
      <c r="C28" s="1219">
        <v>280047.39524562599</v>
      </c>
      <c r="D28" s="1218">
        <v>18175</v>
      </c>
      <c r="E28" s="1219">
        <v>496.87514473000005</v>
      </c>
      <c r="F28" s="874">
        <v>2314620</v>
      </c>
      <c r="G28" s="873">
        <v>280544.27039035596</v>
      </c>
      <c r="H28" s="1218">
        <v>36669413</v>
      </c>
      <c r="I28" s="1219">
        <v>62368.642332801006</v>
      </c>
      <c r="J28" s="1218">
        <v>560581</v>
      </c>
      <c r="K28" s="1219">
        <v>589.31767761799995</v>
      </c>
      <c r="L28" s="1218">
        <v>4212</v>
      </c>
      <c r="M28" s="1219">
        <v>7.475800120649998</v>
      </c>
      <c r="N28" s="1218">
        <v>2024832</v>
      </c>
      <c r="O28" s="1219">
        <v>1217.2293396269997</v>
      </c>
      <c r="P28" s="1218">
        <v>195207</v>
      </c>
      <c r="Q28" s="1219">
        <v>175.36615071104998</v>
      </c>
      <c r="R28" s="1218">
        <v>834763</v>
      </c>
      <c r="S28" s="1219">
        <v>441.56197677900002</v>
      </c>
      <c r="T28" s="1218">
        <v>133296</v>
      </c>
      <c r="U28" s="1219">
        <v>60.366066575849999</v>
      </c>
      <c r="V28" s="1218">
        <v>3752891</v>
      </c>
      <c r="W28" s="1219">
        <v>2491.3170114315494</v>
      </c>
      <c r="X28" s="1219">
        <v>7507.0998574979994</v>
      </c>
      <c r="Y28" s="1218" t="s">
        <v>574</v>
      </c>
      <c r="Z28" s="1218">
        <v>31051461</v>
      </c>
      <c r="AA28" s="1219">
        <v>33598.580505679995</v>
      </c>
      <c r="AB28" s="1218">
        <v>7628</v>
      </c>
      <c r="AC28" s="1219">
        <v>16.549180989</v>
      </c>
      <c r="AD28" s="1218">
        <v>1908890</v>
      </c>
      <c r="AE28" s="1219">
        <v>672.66633829999989</v>
      </c>
      <c r="AF28" s="1218">
        <v>36220</v>
      </c>
      <c r="AG28" s="1219">
        <v>25.035865922999999</v>
      </c>
      <c r="AH28" s="1218">
        <v>2357882</v>
      </c>
      <c r="AI28" s="1219">
        <v>409.71168222099999</v>
      </c>
      <c r="AJ28" s="1218">
        <v>75477</v>
      </c>
      <c r="AK28" s="1219">
        <v>22.118316146999998</v>
      </c>
      <c r="AL28" s="1218">
        <v>35437558</v>
      </c>
      <c r="AM28" s="1219">
        <v>34744.661889259994</v>
      </c>
      <c r="AN28" s="1218">
        <v>308378</v>
      </c>
      <c r="AO28" s="1219">
        <v>202.91023373600004</v>
      </c>
      <c r="AP28" s="1218">
        <v>133265</v>
      </c>
      <c r="AQ28" s="1219">
        <v>92.531627894500005</v>
      </c>
      <c r="AR28" s="1218">
        <v>60739</v>
      </c>
      <c r="AS28" s="1219">
        <v>73.237179999999995</v>
      </c>
      <c r="AT28" s="1218">
        <v>71061</v>
      </c>
      <c r="AU28" s="1219">
        <v>63.980405747400006</v>
      </c>
      <c r="AV28" s="1218">
        <v>74275</v>
      </c>
      <c r="AW28" s="1219">
        <v>33.342587652000006</v>
      </c>
      <c r="AX28" s="1218" t="s">
        <v>574</v>
      </c>
      <c r="AY28" s="1218">
        <v>206075</v>
      </c>
      <c r="AZ28" s="1219">
        <v>170.56017339940001</v>
      </c>
      <c r="BA28" s="1248">
        <v>39838167</v>
      </c>
      <c r="BB28" s="1219">
        <v>37701.980935721447</v>
      </c>
      <c r="BC28" s="1218">
        <v>1978196</v>
      </c>
      <c r="BD28" s="1218">
        <v>27623986</v>
      </c>
      <c r="BE28" s="1218">
        <v>1869559</v>
      </c>
      <c r="BF28" s="1218">
        <v>31471741</v>
      </c>
      <c r="BG28" s="1218">
        <v>5355586</v>
      </c>
      <c r="BH28" s="1218">
        <v>5667084</v>
      </c>
      <c r="BI28" s="1219">
        <v>23770.835637511002</v>
      </c>
      <c r="BJ28" s="1218">
        <v>1515665</v>
      </c>
      <c r="BK28" s="1218">
        <v>461609837</v>
      </c>
      <c r="BL28" s="1219">
        <v>94293.701013542333</v>
      </c>
      <c r="BM28" s="1218">
        <v>178639642</v>
      </c>
      <c r="BN28" s="1218">
        <v>14300</v>
      </c>
      <c r="BO28" s="1218">
        <v>19871309</v>
      </c>
      <c r="BP28" s="1219">
        <v>58535.034291631011</v>
      </c>
      <c r="BQ28" s="1218">
        <v>16073962</v>
      </c>
      <c r="BR28" s="1218">
        <v>13036</v>
      </c>
      <c r="BS28" s="1218">
        <v>101341</v>
      </c>
      <c r="BU28" s="1453"/>
      <c r="BV28" s="1453"/>
    </row>
    <row r="29" spans="1:74" s="190" customFormat="1" ht="11.85" customHeight="1">
      <c r="A29" s="1399" t="s">
        <v>2299</v>
      </c>
      <c r="B29" s="598">
        <f>B30+B31+B32+B33+B34+B35+B36+B37+B38+B39+B40+B41</f>
        <v>22105217</v>
      </c>
      <c r="C29" s="1150">
        <f t="shared" ref="C29:W29" si="7">C30+C31+C32+C33+C34+C35+C36+C37+C38+C39+C40+C41</f>
        <v>2533194.6094060373</v>
      </c>
      <c r="D29" s="598">
        <f>D30+D31+D32+D33+D34+D35+D36+D37+D38+D39+D40+D41</f>
        <v>109534</v>
      </c>
      <c r="E29" s="1150">
        <f t="shared" si="7"/>
        <v>3975.4970206029998</v>
      </c>
      <c r="F29" s="1149">
        <f t="shared" si="7"/>
        <v>22214751</v>
      </c>
      <c r="G29" s="1150">
        <f t="shared" si="7"/>
        <v>2537170.1064266395</v>
      </c>
      <c r="H29" s="1418">
        <f t="shared" si="7"/>
        <v>219089874</v>
      </c>
      <c r="I29" s="1150">
        <f t="shared" si="7"/>
        <v>670019.14837376401</v>
      </c>
      <c r="J29" s="598">
        <f t="shared" si="7"/>
        <v>3682886</v>
      </c>
      <c r="K29" s="1150">
        <f t="shared" si="7"/>
        <v>3474.4970948813007</v>
      </c>
      <c r="L29" s="1418">
        <f t="shared" si="7"/>
        <v>128412</v>
      </c>
      <c r="M29" s="1150">
        <f t="shared" si="7"/>
        <v>217.39425144783999</v>
      </c>
      <c r="N29" s="598">
        <f t="shared" si="7"/>
        <v>26898127</v>
      </c>
      <c r="O29" s="1150">
        <f t="shared" si="7"/>
        <v>16252.378549088999</v>
      </c>
      <c r="P29" s="598">
        <f t="shared" si="7"/>
        <v>3167660</v>
      </c>
      <c r="Q29" s="1150">
        <f t="shared" si="7"/>
        <v>2918.4303676456998</v>
      </c>
      <c r="R29" s="1418">
        <f t="shared" si="7"/>
        <v>11444462</v>
      </c>
      <c r="S29" s="1150">
        <f t="shared" si="7"/>
        <v>6179.2140340400001</v>
      </c>
      <c r="T29" s="598">
        <f t="shared" si="7"/>
        <v>1712865</v>
      </c>
      <c r="U29" s="1150">
        <f t="shared" si="7"/>
        <v>920.10588678559998</v>
      </c>
      <c r="V29" s="598">
        <f t="shared" si="7"/>
        <v>47034412</v>
      </c>
      <c r="W29" s="1150">
        <f t="shared" si="7"/>
        <v>29962.551968044143</v>
      </c>
      <c r="X29" s="1150">
        <f>X41</f>
        <v>8937.9329594219998</v>
      </c>
      <c r="Y29" s="1399" t="s">
        <v>2299</v>
      </c>
      <c r="Z29" s="598">
        <f t="shared" ref="Z29:AW29" si="8">Z30+Z31+Z32+Z33+Z34+Z35+Z36+Z37+Z38+Z39+Z40+Z41</f>
        <v>409898744</v>
      </c>
      <c r="AA29" s="1150">
        <f t="shared" si="8"/>
        <v>439146.637580048</v>
      </c>
      <c r="AB29" s="1418">
        <f t="shared" si="8"/>
        <v>314651</v>
      </c>
      <c r="AC29" s="1150">
        <f t="shared" si="8"/>
        <v>763.68512718900001</v>
      </c>
      <c r="AD29" s="598">
        <f t="shared" si="8"/>
        <v>27422298</v>
      </c>
      <c r="AE29" s="1150">
        <f t="shared" si="8"/>
        <v>9807.2154761680013</v>
      </c>
      <c r="AF29" s="598">
        <f t="shared" si="8"/>
        <v>876606</v>
      </c>
      <c r="AG29" s="1150">
        <f t="shared" si="8"/>
        <v>662.12720842249996</v>
      </c>
      <c r="AH29" s="598">
        <f t="shared" si="8"/>
        <v>31158912</v>
      </c>
      <c r="AI29" s="1150">
        <f t="shared" si="8"/>
        <v>5576.3546097880007</v>
      </c>
      <c r="AJ29" s="1418">
        <f t="shared" si="8"/>
        <v>1271210</v>
      </c>
      <c r="AK29" s="1678">
        <f t="shared" si="8"/>
        <v>387.21434887300001</v>
      </c>
      <c r="AL29" s="598">
        <f t="shared" si="8"/>
        <v>470942421</v>
      </c>
      <c r="AM29" s="1150">
        <f t="shared" si="8"/>
        <v>456343.23435048846</v>
      </c>
      <c r="AN29" s="598">
        <f t="shared" si="8"/>
        <v>4465347</v>
      </c>
      <c r="AO29" s="1150">
        <f t="shared" si="8"/>
        <v>2897.479066206</v>
      </c>
      <c r="AP29" s="598">
        <f t="shared" si="8"/>
        <v>1766000</v>
      </c>
      <c r="AQ29" s="1150">
        <f t="shared" si="8"/>
        <v>1024.591761500802</v>
      </c>
      <c r="AR29" s="598">
        <f t="shared" si="8"/>
        <v>506060</v>
      </c>
      <c r="AS29" s="1150">
        <f t="shared" si="8"/>
        <v>705.80543589399997</v>
      </c>
      <c r="AT29" s="598">
        <f t="shared" si="8"/>
        <v>923852</v>
      </c>
      <c r="AU29" s="1150">
        <f t="shared" si="8"/>
        <v>889.62142875981976</v>
      </c>
      <c r="AV29" s="598">
        <f t="shared" si="8"/>
        <v>803872</v>
      </c>
      <c r="AW29" s="1150">
        <f t="shared" si="8"/>
        <v>309.46437661200002</v>
      </c>
      <c r="AX29" s="1399" t="s">
        <v>2299</v>
      </c>
      <c r="AY29" s="598">
        <f t="shared" ref="AY29:BK29" si="9">AY30+AY31+AY32+AY33+AY34+AY35+AY36+AY37+AY38+AY39+AY40+AY41</f>
        <v>2233784</v>
      </c>
      <c r="AZ29" s="1150">
        <f t="shared" si="9"/>
        <v>1904.8912412658196</v>
      </c>
      <c r="BA29" s="598">
        <f t="shared" si="9"/>
        <v>526441964</v>
      </c>
      <c r="BB29" s="1150">
        <f>BB30+BB31+BB32+BB33+BB34+BB35+BB36+BB37+BB38+BB39+BB40+BB41</f>
        <v>492132.7483875053</v>
      </c>
      <c r="BC29" s="598">
        <f>BC41</f>
        <v>2238663</v>
      </c>
      <c r="BD29" s="1350">
        <f t="shared" ref="BD29:BG29" si="10">BD41</f>
        <v>32131984</v>
      </c>
      <c r="BE29" s="1418">
        <f t="shared" si="10"/>
        <v>4269805</v>
      </c>
      <c r="BF29" s="598">
        <f t="shared" si="10"/>
        <v>38640452</v>
      </c>
      <c r="BG29" s="598">
        <f t="shared" si="10"/>
        <v>7237380</v>
      </c>
      <c r="BH29" s="598">
        <f t="shared" si="9"/>
        <v>78148370</v>
      </c>
      <c r="BI29" s="1150">
        <f t="shared" si="9"/>
        <v>397221.11906997696</v>
      </c>
      <c r="BJ29" s="598">
        <f>BJ41</f>
        <v>1585722</v>
      </c>
      <c r="BK29" s="598">
        <f t="shared" si="9"/>
        <v>5538646530</v>
      </c>
      <c r="BL29" s="1678">
        <f>BL30+BL31+BL32+BL33+BL34+BL35+BL36+BL37+BL38+BL39+BL40+BL41</f>
        <v>1217375.6009731088</v>
      </c>
      <c r="BM29" s="598">
        <f>BM41</f>
        <v>207268646</v>
      </c>
      <c r="BN29" s="598">
        <f>BN41</f>
        <v>15510</v>
      </c>
      <c r="BO29" s="598">
        <f t="shared" ref="BO29:BP29" si="11">BO30+BO31+BO32+BO33+BO34+BO35+BO36+BO37+BO38+BO39+BO40+BO41</f>
        <v>181709043</v>
      </c>
      <c r="BP29" s="1150">
        <f t="shared" si="11"/>
        <v>774328.8298470421</v>
      </c>
      <c r="BQ29" s="598">
        <f>BQ41</f>
        <v>19850911</v>
      </c>
      <c r="BR29" s="598">
        <f>BR41</f>
        <v>13704</v>
      </c>
      <c r="BS29" s="598">
        <f>BS41</f>
        <v>106733</v>
      </c>
      <c r="BU29" s="1453"/>
      <c r="BV29" s="1453"/>
    </row>
    <row r="30" spans="1:74" s="190" customFormat="1" ht="11.85" customHeight="1">
      <c r="A30" s="1218" t="s">
        <v>576</v>
      </c>
      <c r="B30" s="1218">
        <v>1649517</v>
      </c>
      <c r="C30" s="1219">
        <v>202636.00549710292</v>
      </c>
      <c r="D30" s="1218">
        <v>9516</v>
      </c>
      <c r="E30" s="1219">
        <v>206.73015956</v>
      </c>
      <c r="F30" s="1218">
        <v>1659033</v>
      </c>
      <c r="G30" s="1219">
        <v>202842.7356566629</v>
      </c>
      <c r="H30" s="1218">
        <v>13398738</v>
      </c>
      <c r="I30" s="1219">
        <v>49119.83277993201</v>
      </c>
      <c r="J30" s="1218">
        <v>537464</v>
      </c>
      <c r="K30" s="1219">
        <v>581.66958493099992</v>
      </c>
      <c r="L30" s="1218">
        <v>6644</v>
      </c>
      <c r="M30" s="1219">
        <v>12.606325479300002</v>
      </c>
      <c r="N30" s="1218">
        <v>2106121</v>
      </c>
      <c r="O30" s="1219">
        <v>1248.9034585080001</v>
      </c>
      <c r="P30" s="1218">
        <v>243793</v>
      </c>
      <c r="Q30" s="1219">
        <v>233.21360683564993</v>
      </c>
      <c r="R30" s="1218">
        <v>807115</v>
      </c>
      <c r="S30" s="1219">
        <v>440.85201795699993</v>
      </c>
      <c r="T30" s="1218">
        <v>125636</v>
      </c>
      <c r="U30" s="1219">
        <v>60.749221170300018</v>
      </c>
      <c r="V30" s="1218">
        <v>3826773</v>
      </c>
      <c r="W30" s="1219">
        <v>2577.9942148812502</v>
      </c>
      <c r="X30" s="1219">
        <v>7281.2290249230009</v>
      </c>
      <c r="Y30" s="1218" t="s">
        <v>576</v>
      </c>
      <c r="Z30" s="1218">
        <v>31707919</v>
      </c>
      <c r="AA30" s="1219">
        <v>34151.280482898997</v>
      </c>
      <c r="AB30" s="1218">
        <v>9520</v>
      </c>
      <c r="AC30" s="1219">
        <v>19.932478428000003</v>
      </c>
      <c r="AD30" s="1218">
        <v>2101874</v>
      </c>
      <c r="AE30" s="1219">
        <v>772.13439491600002</v>
      </c>
      <c r="AF30" s="1218">
        <v>39955</v>
      </c>
      <c r="AG30" s="1219">
        <v>33.366148688999999</v>
      </c>
      <c r="AH30" s="1218">
        <v>2305148</v>
      </c>
      <c r="AI30" s="1219">
        <v>410.012584522</v>
      </c>
      <c r="AJ30" s="1218">
        <v>77442</v>
      </c>
      <c r="AK30" s="1219">
        <v>20.459789328999999</v>
      </c>
      <c r="AL30" s="1218">
        <v>36241858</v>
      </c>
      <c r="AM30" s="1219">
        <v>35407.185878782999</v>
      </c>
      <c r="AN30" s="1218">
        <v>336308</v>
      </c>
      <c r="AO30" s="1219">
        <v>229.95972937400009</v>
      </c>
      <c r="AP30" s="1218">
        <v>111710</v>
      </c>
      <c r="AQ30" s="1219">
        <v>60.597311433149997</v>
      </c>
      <c r="AR30" s="1218">
        <v>69168</v>
      </c>
      <c r="AS30" s="1219">
        <v>88.734829999999988</v>
      </c>
      <c r="AT30" s="1218">
        <v>78786</v>
      </c>
      <c r="AU30" s="1219">
        <v>67.675018949499986</v>
      </c>
      <c r="AV30" s="1218">
        <v>68995</v>
      </c>
      <c r="AW30" s="1219">
        <v>27.836900808999999</v>
      </c>
      <c r="AX30" s="1218" t="s">
        <v>576</v>
      </c>
      <c r="AY30" s="1218">
        <v>216949</v>
      </c>
      <c r="AZ30" s="1219">
        <v>184.24674975849996</v>
      </c>
      <c r="BA30" s="1248">
        <v>40733598</v>
      </c>
      <c r="BB30" s="1219">
        <v>38459.9838842299</v>
      </c>
      <c r="BC30" s="1218">
        <v>2007724</v>
      </c>
      <c r="BD30" s="1218">
        <v>27950359</v>
      </c>
      <c r="BE30" s="1218">
        <v>2528173</v>
      </c>
      <c r="BF30" s="1218">
        <v>32486256</v>
      </c>
      <c r="BG30" s="1218">
        <v>5472264</v>
      </c>
      <c r="BH30" s="1218">
        <v>5703793</v>
      </c>
      <c r="BI30" s="1219">
        <v>23548.536446219998</v>
      </c>
      <c r="BJ30" s="1218">
        <v>1526239</v>
      </c>
      <c r="BK30" s="1218">
        <v>431892765</v>
      </c>
      <c r="BL30" s="1219">
        <v>89169.25535799301</v>
      </c>
      <c r="BM30" s="1218">
        <v>181137763</v>
      </c>
      <c r="BN30" s="1218">
        <v>14412</v>
      </c>
      <c r="BO30" s="1218">
        <v>12448213</v>
      </c>
      <c r="BP30" s="1219">
        <v>52784.435324975995</v>
      </c>
      <c r="BQ30" s="1218">
        <v>16293910</v>
      </c>
      <c r="BR30" s="1218">
        <v>13065</v>
      </c>
      <c r="BS30" s="1218">
        <v>101993</v>
      </c>
      <c r="BT30" s="1349"/>
      <c r="BU30" s="1453"/>
      <c r="BV30" s="1453"/>
    </row>
    <row r="31" spans="1:74" s="190" customFormat="1" ht="11.85" customHeight="1">
      <c r="A31" s="1216" t="s">
        <v>577</v>
      </c>
      <c r="B31" s="1216">
        <v>1813828</v>
      </c>
      <c r="C31" s="1217">
        <v>231027.26298447303</v>
      </c>
      <c r="D31" s="1216">
        <v>9566</v>
      </c>
      <c r="E31" s="1217">
        <v>275.69495008000001</v>
      </c>
      <c r="F31" s="1216">
        <v>1823394</v>
      </c>
      <c r="G31" s="1217">
        <v>231302.95793455304</v>
      </c>
      <c r="H31" s="1216">
        <v>10270841</v>
      </c>
      <c r="I31" s="1217">
        <v>51699.025985130997</v>
      </c>
      <c r="J31" s="1216">
        <v>305734</v>
      </c>
      <c r="K31" s="1217">
        <v>297.46379853299993</v>
      </c>
      <c r="L31" s="1216">
        <v>11207</v>
      </c>
      <c r="M31" s="1217">
        <v>21.551331748349998</v>
      </c>
      <c r="N31" s="1216">
        <v>2167546</v>
      </c>
      <c r="O31" s="1217">
        <v>1237.755219726</v>
      </c>
      <c r="P31" s="1216">
        <v>248170</v>
      </c>
      <c r="Q31" s="1217">
        <v>222.70378755519994</v>
      </c>
      <c r="R31" s="1216">
        <v>864402</v>
      </c>
      <c r="S31" s="1217">
        <v>450.83845392900002</v>
      </c>
      <c r="T31" s="1216">
        <v>144881</v>
      </c>
      <c r="U31" s="1217">
        <v>72.090876788599999</v>
      </c>
      <c r="V31" s="1216">
        <v>3741940</v>
      </c>
      <c r="W31" s="1217">
        <v>2302.4034682801498</v>
      </c>
      <c r="X31" s="1217">
        <v>7704.961692246</v>
      </c>
      <c r="Y31" s="1216" t="s">
        <v>577</v>
      </c>
      <c r="Z31" s="1216">
        <v>30727592</v>
      </c>
      <c r="AA31" s="1217">
        <v>32772.288250981997</v>
      </c>
      <c r="AB31" s="1216">
        <v>23847</v>
      </c>
      <c r="AC31" s="1217">
        <v>45.6440391816</v>
      </c>
      <c r="AD31" s="1216">
        <v>2051844</v>
      </c>
      <c r="AE31" s="1217">
        <v>712.74522970499993</v>
      </c>
      <c r="AF31" s="1216">
        <v>57902</v>
      </c>
      <c r="AG31" s="1217">
        <v>40.9528005815</v>
      </c>
      <c r="AH31" s="1216">
        <v>2422183</v>
      </c>
      <c r="AI31" s="1217">
        <v>414.59060374500018</v>
      </c>
      <c r="AJ31" s="1216">
        <v>171033</v>
      </c>
      <c r="AK31" s="1217">
        <v>32.590970567999996</v>
      </c>
      <c r="AL31" s="1216">
        <v>35454401</v>
      </c>
      <c r="AM31" s="1217">
        <v>34018.811894763094</v>
      </c>
      <c r="AN31" s="1216">
        <v>321726</v>
      </c>
      <c r="AO31" s="1217">
        <v>212.87233370899997</v>
      </c>
      <c r="AP31" s="1216">
        <v>160962</v>
      </c>
      <c r="AQ31" s="1217">
        <v>84.795698124750004</v>
      </c>
      <c r="AR31" s="1216">
        <v>63646</v>
      </c>
      <c r="AS31" s="1217">
        <v>75.588319999999996</v>
      </c>
      <c r="AT31" s="1216">
        <v>74124</v>
      </c>
      <c r="AU31" s="1217">
        <v>64.650515808999998</v>
      </c>
      <c r="AV31" s="1216">
        <v>72909</v>
      </c>
      <c r="AW31" s="1217">
        <v>28.635353281</v>
      </c>
      <c r="AX31" s="1216" t="s">
        <v>577</v>
      </c>
      <c r="AY31" s="1216">
        <v>210679</v>
      </c>
      <c r="AZ31" s="1217">
        <v>168.87418908999999</v>
      </c>
      <c r="BA31" s="1256">
        <v>39889708</v>
      </c>
      <c r="BB31" s="1217">
        <v>36787.757583967003</v>
      </c>
      <c r="BC31" s="1216">
        <v>2022259</v>
      </c>
      <c r="BD31" s="1216">
        <v>28372594</v>
      </c>
      <c r="BE31" s="1216">
        <v>2985576</v>
      </c>
      <c r="BF31" s="1216">
        <v>33380429</v>
      </c>
      <c r="BG31" s="1216">
        <v>5716529</v>
      </c>
      <c r="BH31" s="1216">
        <v>5970748</v>
      </c>
      <c r="BI31" s="1217">
        <v>25543.982178814</v>
      </c>
      <c r="BJ31" s="1216">
        <v>1493398</v>
      </c>
      <c r="BK31" s="1216">
        <v>408059052</v>
      </c>
      <c r="BL31" s="1217">
        <v>87446.365902944221</v>
      </c>
      <c r="BM31" s="1216">
        <v>183224610</v>
      </c>
      <c r="BN31" s="1216">
        <v>14509</v>
      </c>
      <c r="BO31" s="1216">
        <v>12988273</v>
      </c>
      <c r="BP31" s="1217">
        <v>57542.348755307008</v>
      </c>
      <c r="BQ31" s="1216">
        <v>16537969</v>
      </c>
      <c r="BR31" s="1216">
        <v>13099</v>
      </c>
      <c r="BS31" s="1216">
        <v>103094</v>
      </c>
      <c r="BT31" s="1349"/>
      <c r="BU31" s="1453"/>
    </row>
    <row r="32" spans="1:74" s="190" customFormat="1" ht="11.85" customHeight="1">
      <c r="A32" s="1218" t="s">
        <v>571</v>
      </c>
      <c r="B32" s="1218">
        <v>1793147</v>
      </c>
      <c r="C32" s="1219">
        <v>216515.895644509</v>
      </c>
      <c r="D32" s="1218">
        <v>9074</v>
      </c>
      <c r="E32" s="1219">
        <v>248.47614779200001</v>
      </c>
      <c r="F32" s="1218">
        <v>1802221</v>
      </c>
      <c r="G32" s="1219">
        <v>216764.37179230101</v>
      </c>
      <c r="H32" s="1218">
        <v>9730251</v>
      </c>
      <c r="I32" s="1219">
        <v>48008.86222586799</v>
      </c>
      <c r="J32" s="1218">
        <v>275702</v>
      </c>
      <c r="K32" s="1219">
        <v>249.10009712200005</v>
      </c>
      <c r="L32" s="1218">
        <v>12868</v>
      </c>
      <c r="M32" s="1219">
        <v>22.1391225974</v>
      </c>
      <c r="N32" s="1218">
        <v>2151129</v>
      </c>
      <c r="O32" s="1219">
        <v>1213.5365075119998</v>
      </c>
      <c r="P32" s="1218">
        <v>269478</v>
      </c>
      <c r="Q32" s="1219">
        <v>239.71581757025004</v>
      </c>
      <c r="R32" s="1218">
        <v>875899</v>
      </c>
      <c r="S32" s="1219">
        <v>484.59167348900019</v>
      </c>
      <c r="T32" s="1218">
        <v>140097</v>
      </c>
      <c r="U32" s="1219">
        <v>72.686008021199981</v>
      </c>
      <c r="V32" s="1218">
        <v>3725173</v>
      </c>
      <c r="W32" s="1219">
        <v>2281.7692263118502</v>
      </c>
      <c r="X32" s="1219">
        <v>7790.9249361109987</v>
      </c>
      <c r="Y32" s="1218" t="s">
        <v>571</v>
      </c>
      <c r="Z32" s="1218">
        <v>30738357</v>
      </c>
      <c r="AA32" s="1219">
        <v>33048.737961022009</v>
      </c>
      <c r="AB32" s="1218">
        <v>32870</v>
      </c>
      <c r="AC32" s="1219">
        <v>69.361218919000009</v>
      </c>
      <c r="AD32" s="1218">
        <v>2074680</v>
      </c>
      <c r="AE32" s="1219">
        <v>720.01220303299999</v>
      </c>
      <c r="AF32" s="1218">
        <v>68822</v>
      </c>
      <c r="AG32" s="1219">
        <v>51.578971019000001</v>
      </c>
      <c r="AH32" s="1218">
        <v>2482218</v>
      </c>
      <c r="AI32" s="1219">
        <v>434.80153298300007</v>
      </c>
      <c r="AJ32" s="1218">
        <v>122407</v>
      </c>
      <c r="AK32" s="1219">
        <v>30.712125464000003</v>
      </c>
      <c r="AL32" s="1218">
        <v>35519354</v>
      </c>
      <c r="AM32" s="1219">
        <v>34355.204012440008</v>
      </c>
      <c r="AN32" s="1218">
        <v>339262</v>
      </c>
      <c r="AO32" s="1219">
        <v>229.54801825700002</v>
      </c>
      <c r="AP32" s="1218">
        <v>185120</v>
      </c>
      <c r="AQ32" s="1219">
        <v>99.559959695200007</v>
      </c>
      <c r="AR32" s="1218">
        <v>33513</v>
      </c>
      <c r="AS32" s="1219">
        <v>45.304720299999993</v>
      </c>
      <c r="AT32" s="1218">
        <v>58938</v>
      </c>
      <c r="AU32" s="1219">
        <v>55.353041109999999</v>
      </c>
      <c r="AV32" s="1218">
        <v>55438</v>
      </c>
      <c r="AW32" s="1219">
        <v>16.086852977000003</v>
      </c>
      <c r="AX32" s="1218" t="s">
        <v>571</v>
      </c>
      <c r="AY32" s="1218">
        <v>147889</v>
      </c>
      <c r="AZ32" s="1219">
        <v>116.744614387</v>
      </c>
      <c r="BA32" s="1248">
        <v>39916798</v>
      </c>
      <c r="BB32" s="1219">
        <v>37082.825831091046</v>
      </c>
      <c r="BC32" s="1218">
        <v>2037598</v>
      </c>
      <c r="BD32" s="1218">
        <v>28784052</v>
      </c>
      <c r="BE32" s="1218">
        <v>3099201</v>
      </c>
      <c r="BF32" s="1218">
        <v>33920851</v>
      </c>
      <c r="BG32" s="1218">
        <v>5889226</v>
      </c>
      <c r="BH32" s="1218">
        <v>6024976</v>
      </c>
      <c r="BI32" s="1219">
        <v>26605.388500904995</v>
      </c>
      <c r="BJ32" s="1218">
        <v>1505321</v>
      </c>
      <c r="BK32" s="1218">
        <v>408379707</v>
      </c>
      <c r="BL32" s="1219">
        <v>87635.165541996568</v>
      </c>
      <c r="BM32" s="1218">
        <v>185257932</v>
      </c>
      <c r="BN32" s="1218">
        <v>14716</v>
      </c>
      <c r="BO32" s="1218">
        <v>12732190</v>
      </c>
      <c r="BP32" s="1219">
        <v>59295.219292353991</v>
      </c>
      <c r="BQ32" s="1218">
        <v>16781251</v>
      </c>
      <c r="BR32" s="1218">
        <v>13210</v>
      </c>
      <c r="BS32" s="1218">
        <v>101712</v>
      </c>
      <c r="BT32" s="1349"/>
      <c r="BU32" s="1453"/>
    </row>
    <row r="33" spans="1:73" s="190" customFormat="1" ht="12.75" customHeight="1">
      <c r="A33" s="1736" t="s">
        <v>578</v>
      </c>
      <c r="B33" s="1216">
        <v>1804087</v>
      </c>
      <c r="C33" s="1217">
        <v>202714.520875396</v>
      </c>
      <c r="D33" s="1216">
        <v>9588</v>
      </c>
      <c r="E33" s="1217">
        <v>228.81203046100001</v>
      </c>
      <c r="F33" s="1216">
        <v>1813675</v>
      </c>
      <c r="G33" s="1217">
        <v>202943.33290585701</v>
      </c>
      <c r="H33" s="1216">
        <v>19944569</v>
      </c>
      <c r="I33" s="1217">
        <v>49241.193540115004</v>
      </c>
      <c r="J33" s="1216">
        <v>300746</v>
      </c>
      <c r="K33" s="1217">
        <v>278.27265123000001</v>
      </c>
      <c r="L33" s="1216">
        <v>12833</v>
      </c>
      <c r="M33" s="1217">
        <v>20.582455651699998</v>
      </c>
      <c r="N33" s="1216">
        <v>2262276</v>
      </c>
      <c r="O33" s="1217">
        <v>1293.423238072</v>
      </c>
      <c r="P33" s="1216">
        <v>294136</v>
      </c>
      <c r="Q33" s="1217">
        <v>265.80038767050002</v>
      </c>
      <c r="R33" s="1216">
        <v>934287</v>
      </c>
      <c r="S33" s="1217">
        <v>530.60861513299994</v>
      </c>
      <c r="T33" s="1216">
        <v>137364</v>
      </c>
      <c r="U33" s="1217">
        <v>69.551401433999999</v>
      </c>
      <c r="V33" s="1216">
        <v>3941642</v>
      </c>
      <c r="W33" s="1217">
        <v>2458.2387491912</v>
      </c>
      <c r="X33" s="1217">
        <v>7963.2711617329996</v>
      </c>
      <c r="Y33" s="1216" t="s">
        <v>578</v>
      </c>
      <c r="Z33" s="1216">
        <v>31912334</v>
      </c>
      <c r="AA33" s="1217">
        <v>33917.624082527997</v>
      </c>
      <c r="AB33" s="1216">
        <v>32398</v>
      </c>
      <c r="AC33" s="1217">
        <v>71.876545355000005</v>
      </c>
      <c r="AD33" s="1216">
        <v>2154044</v>
      </c>
      <c r="AE33" s="1217">
        <v>749.00966447899998</v>
      </c>
      <c r="AF33" s="1216">
        <v>79211</v>
      </c>
      <c r="AG33" s="1217">
        <v>58.312762106999998</v>
      </c>
      <c r="AH33" s="1216">
        <v>2546429</v>
      </c>
      <c r="AI33" s="1217">
        <v>445.590501985</v>
      </c>
      <c r="AJ33" s="1216">
        <v>130974</v>
      </c>
      <c r="AK33" s="1217">
        <v>29.804467472999999</v>
      </c>
      <c r="AL33" s="1216">
        <v>36855390</v>
      </c>
      <c r="AM33" s="1217">
        <v>35272.218023927002</v>
      </c>
      <c r="AN33" s="1216">
        <v>325905</v>
      </c>
      <c r="AO33" s="1217">
        <v>215.30157891600001</v>
      </c>
      <c r="AP33" s="1216">
        <v>180177</v>
      </c>
      <c r="AQ33" s="1217">
        <v>89.067913960799999</v>
      </c>
      <c r="AR33" s="1216">
        <v>34584</v>
      </c>
      <c r="AS33" s="1217">
        <v>48.116419999999998</v>
      </c>
      <c r="AT33" s="1216">
        <v>61196</v>
      </c>
      <c r="AU33" s="1217">
        <v>56.234574686999999</v>
      </c>
      <c r="AV33" s="1216">
        <v>48897</v>
      </c>
      <c r="AW33" s="1217">
        <v>14.606709499000001</v>
      </c>
      <c r="AX33" s="1216" t="s">
        <v>578</v>
      </c>
      <c r="AY33" s="1216">
        <v>144677</v>
      </c>
      <c r="AZ33" s="1217">
        <v>118.957704186</v>
      </c>
      <c r="BA33" s="1256">
        <v>41447791</v>
      </c>
      <c r="BB33" s="1217">
        <v>38153.783970181001</v>
      </c>
      <c r="BC33" s="1216">
        <v>2068597</v>
      </c>
      <c r="BD33" s="1216">
        <v>29155758</v>
      </c>
      <c r="BE33" s="1216">
        <v>3198443</v>
      </c>
      <c r="BF33" s="1216">
        <v>34422798</v>
      </c>
      <c r="BG33" s="1216">
        <v>6019687</v>
      </c>
      <c r="BH33" s="1216">
        <v>6117675</v>
      </c>
      <c r="BI33" s="1217">
        <v>25965.271321205</v>
      </c>
      <c r="BJ33" s="1216">
        <v>1521803</v>
      </c>
      <c r="BK33" s="1216">
        <v>444062360</v>
      </c>
      <c r="BL33" s="1217">
        <v>93013.440808555781</v>
      </c>
      <c r="BM33" s="1216">
        <v>187523593</v>
      </c>
      <c r="BN33" s="1216">
        <v>14833</v>
      </c>
      <c r="BO33" s="1216">
        <v>15506520</v>
      </c>
      <c r="BP33" s="1217">
        <v>59765.873358441997</v>
      </c>
      <c r="BQ33" s="1216">
        <v>17042562</v>
      </c>
      <c r="BR33" s="1216">
        <v>13269</v>
      </c>
      <c r="BS33" s="1216">
        <v>102488</v>
      </c>
      <c r="BT33" s="1349"/>
      <c r="BU33" s="1453"/>
    </row>
    <row r="34" spans="1:73" s="190" customFormat="1" ht="11.85" customHeight="1">
      <c r="A34" s="1218" t="s">
        <v>579</v>
      </c>
      <c r="B34" s="1218">
        <v>1934064</v>
      </c>
      <c r="C34" s="1219">
        <v>227335.62459041193</v>
      </c>
      <c r="D34" s="1218">
        <v>9825</v>
      </c>
      <c r="E34" s="1219">
        <v>238.93786359299997</v>
      </c>
      <c r="F34" s="1218">
        <v>1943889</v>
      </c>
      <c r="G34" s="1219">
        <v>227574.56245400492</v>
      </c>
      <c r="H34" s="1218">
        <v>11106837</v>
      </c>
      <c r="I34" s="1219">
        <v>50322.474459369005</v>
      </c>
      <c r="J34" s="1218">
        <v>294745</v>
      </c>
      <c r="K34" s="1219">
        <v>275.56447863700009</v>
      </c>
      <c r="L34" s="1218">
        <v>10346</v>
      </c>
      <c r="M34" s="1219">
        <v>16.644283342000001</v>
      </c>
      <c r="N34" s="1218">
        <v>2175109</v>
      </c>
      <c r="O34" s="1219">
        <v>1310.2241300619999</v>
      </c>
      <c r="P34" s="1218">
        <v>255155</v>
      </c>
      <c r="Q34" s="1219">
        <v>230.4580237079999</v>
      </c>
      <c r="R34" s="1218">
        <v>1002128</v>
      </c>
      <c r="S34" s="1219">
        <v>548.61049771400019</v>
      </c>
      <c r="T34" s="1218">
        <v>137806</v>
      </c>
      <c r="U34" s="1219">
        <v>77.699769103500003</v>
      </c>
      <c r="V34" s="1218">
        <v>3875289</v>
      </c>
      <c r="W34" s="1219">
        <v>2459.2011825664995</v>
      </c>
      <c r="X34" s="1219">
        <v>8081.4645698180029</v>
      </c>
      <c r="Y34" s="1218" t="s">
        <v>579</v>
      </c>
      <c r="Z34" s="1218">
        <v>32672687</v>
      </c>
      <c r="AA34" s="1219">
        <v>35024.369650155</v>
      </c>
      <c r="AB34" s="1218">
        <v>29846</v>
      </c>
      <c r="AC34" s="1219">
        <v>71.346056673999996</v>
      </c>
      <c r="AD34" s="1218">
        <v>2118175</v>
      </c>
      <c r="AE34" s="1219">
        <v>727.10963299800005</v>
      </c>
      <c r="AF34" s="1218">
        <v>75297</v>
      </c>
      <c r="AG34" s="1219">
        <v>61.159001789000008</v>
      </c>
      <c r="AH34" s="1218">
        <v>2539175</v>
      </c>
      <c r="AI34" s="1219">
        <v>440.56617210900015</v>
      </c>
      <c r="AJ34" s="1218">
        <v>93709</v>
      </c>
      <c r="AK34" s="1219">
        <v>31.762348953</v>
      </c>
      <c r="AL34" s="1218">
        <v>37528889</v>
      </c>
      <c r="AM34" s="1219">
        <v>36356.312862677994</v>
      </c>
      <c r="AN34" s="1218">
        <v>333057</v>
      </c>
      <c r="AO34" s="1219">
        <v>218.30361029100001</v>
      </c>
      <c r="AP34" s="1218">
        <v>160957</v>
      </c>
      <c r="AQ34" s="1219">
        <v>83.595061401500004</v>
      </c>
      <c r="AR34" s="1218">
        <v>36006</v>
      </c>
      <c r="AS34" s="1219">
        <v>51.334510000000002</v>
      </c>
      <c r="AT34" s="1218">
        <v>67685</v>
      </c>
      <c r="AU34" s="1219">
        <v>62.887701202999992</v>
      </c>
      <c r="AV34" s="1218">
        <v>53000</v>
      </c>
      <c r="AW34" s="1219">
        <v>16.220736223999999</v>
      </c>
      <c r="AX34" s="1218" t="s">
        <v>579</v>
      </c>
      <c r="AY34" s="1218">
        <v>156691</v>
      </c>
      <c r="AZ34" s="1219">
        <v>130.44294742699998</v>
      </c>
      <c r="BA34" s="1248">
        <v>42054883</v>
      </c>
      <c r="BB34" s="1219">
        <v>39247.855664363997</v>
      </c>
      <c r="BC34" s="1218">
        <v>2087136</v>
      </c>
      <c r="BD34" s="1218">
        <v>29542887</v>
      </c>
      <c r="BE34" s="1218">
        <v>3279020</v>
      </c>
      <c r="BF34" s="1218">
        <v>34909043</v>
      </c>
      <c r="BG34" s="1218">
        <v>6127001</v>
      </c>
      <c r="BH34" s="1218">
        <v>6201828</v>
      </c>
      <c r="BI34" s="1219">
        <v>27426.641374221999</v>
      </c>
      <c r="BJ34" s="1218">
        <v>1531405</v>
      </c>
      <c r="BK34" s="1218">
        <v>415974768</v>
      </c>
      <c r="BL34" s="1219">
        <v>92125.748510986014</v>
      </c>
      <c r="BM34" s="1218">
        <v>188559736</v>
      </c>
      <c r="BN34" s="1218">
        <v>15056</v>
      </c>
      <c r="BO34" s="1218">
        <v>14627647</v>
      </c>
      <c r="BP34" s="1219">
        <v>65062.233981172001</v>
      </c>
      <c r="BQ34" s="1218">
        <v>17251563</v>
      </c>
      <c r="BR34" s="1218">
        <v>13367</v>
      </c>
      <c r="BS34" s="1218">
        <v>103035</v>
      </c>
      <c r="BT34" s="1349"/>
      <c r="BU34" s="1453"/>
    </row>
    <row r="35" spans="1:73" s="190" customFormat="1" ht="11.85" customHeight="1">
      <c r="A35" s="1216" t="s">
        <v>572</v>
      </c>
      <c r="B35" s="1216">
        <v>1791749</v>
      </c>
      <c r="C35" s="1217">
        <v>197130.23509777905</v>
      </c>
      <c r="D35" s="1216">
        <v>9635</v>
      </c>
      <c r="E35" s="1217">
        <v>268.38040873</v>
      </c>
      <c r="F35" s="1216">
        <v>1801384</v>
      </c>
      <c r="G35" s="1217">
        <v>197398.61550650906</v>
      </c>
      <c r="H35" s="1216">
        <v>9767821</v>
      </c>
      <c r="I35" s="1217">
        <v>49478.623392813999</v>
      </c>
      <c r="J35" s="1216">
        <v>272094</v>
      </c>
      <c r="K35" s="1217">
        <v>249.69703199200001</v>
      </c>
      <c r="L35" s="1216">
        <v>12491</v>
      </c>
      <c r="M35" s="1217">
        <v>20.136423478680005</v>
      </c>
      <c r="N35" s="1216">
        <v>2340788</v>
      </c>
      <c r="O35" s="1217">
        <v>1381.5050390799997</v>
      </c>
      <c r="P35" s="1216">
        <v>273549</v>
      </c>
      <c r="Q35" s="1217">
        <v>259.04707803600007</v>
      </c>
      <c r="R35" s="1216">
        <v>953414</v>
      </c>
      <c r="S35" s="1217">
        <v>502.43321497199992</v>
      </c>
      <c r="T35" s="1216">
        <v>133129</v>
      </c>
      <c r="U35" s="1217">
        <v>76.563376310399988</v>
      </c>
      <c r="V35" s="1216">
        <v>3985465</v>
      </c>
      <c r="W35" s="1217">
        <v>2489.3821638690797</v>
      </c>
      <c r="X35" s="1217">
        <v>8302.7366383320004</v>
      </c>
      <c r="Y35" s="1216" t="s">
        <v>572</v>
      </c>
      <c r="Z35" s="1216">
        <v>32463206</v>
      </c>
      <c r="AA35" s="1217">
        <v>35254.499612189989</v>
      </c>
      <c r="AB35" s="1216">
        <v>35734</v>
      </c>
      <c r="AC35" s="1217">
        <v>101.912280219</v>
      </c>
      <c r="AD35" s="1216">
        <v>2281442</v>
      </c>
      <c r="AE35" s="1217">
        <v>804.72717918000001</v>
      </c>
      <c r="AF35" s="1216">
        <v>77509</v>
      </c>
      <c r="AG35" s="1217">
        <v>63.388873661999995</v>
      </c>
      <c r="AH35" s="1216">
        <v>2516615</v>
      </c>
      <c r="AI35" s="1217">
        <v>453.31003675800002</v>
      </c>
      <c r="AJ35" s="1216">
        <v>98404</v>
      </c>
      <c r="AK35" s="1217">
        <v>32.807043438000008</v>
      </c>
      <c r="AL35" s="1216">
        <v>37472910</v>
      </c>
      <c r="AM35" s="1217">
        <v>36710.645025446989</v>
      </c>
      <c r="AN35" s="1216">
        <v>351918</v>
      </c>
      <c r="AO35" s="1217">
        <v>226.48278852199999</v>
      </c>
      <c r="AP35" s="1216">
        <v>150488</v>
      </c>
      <c r="AQ35" s="1217">
        <v>85.777385608779994</v>
      </c>
      <c r="AR35" s="1216">
        <v>40941</v>
      </c>
      <c r="AS35" s="1217">
        <v>59.340130000000009</v>
      </c>
      <c r="AT35" s="1216">
        <v>84296</v>
      </c>
      <c r="AU35" s="1217">
        <v>74.474574380999996</v>
      </c>
      <c r="AV35" s="1216">
        <v>56109</v>
      </c>
      <c r="AW35" s="1217">
        <v>19.075008827000001</v>
      </c>
      <c r="AX35" s="1216" t="s">
        <v>572</v>
      </c>
      <c r="AY35" s="1216">
        <v>181346</v>
      </c>
      <c r="AZ35" s="1217">
        <v>152.88971320800002</v>
      </c>
      <c r="BA35" s="1256">
        <v>42142127</v>
      </c>
      <c r="BB35" s="1217">
        <v>39665.177076654858</v>
      </c>
      <c r="BC35" s="1216">
        <v>2115861</v>
      </c>
      <c r="BD35" s="1216">
        <v>29849136</v>
      </c>
      <c r="BE35" s="1216">
        <v>3383951</v>
      </c>
      <c r="BF35" s="1216">
        <v>35348948</v>
      </c>
      <c r="BG35" s="1216">
        <v>6252634</v>
      </c>
      <c r="BH35" s="1216">
        <v>5624146</v>
      </c>
      <c r="BI35" s="1217">
        <v>27558.790016972998</v>
      </c>
      <c r="BJ35" s="1216">
        <v>1554637</v>
      </c>
      <c r="BK35" s="1216">
        <v>428324785</v>
      </c>
      <c r="BL35" s="1217">
        <v>96132.863114536696</v>
      </c>
      <c r="BM35" s="1216">
        <v>191063573</v>
      </c>
      <c r="BN35" s="1216">
        <v>15226</v>
      </c>
      <c r="BO35" s="1216">
        <v>15621424</v>
      </c>
      <c r="BP35" s="1217">
        <v>62761.351277084017</v>
      </c>
      <c r="BQ35" s="1216">
        <v>17478884</v>
      </c>
      <c r="BR35" s="1216">
        <v>13434</v>
      </c>
      <c r="BS35" s="1216">
        <v>103055</v>
      </c>
      <c r="BT35" s="1349"/>
      <c r="BU35" s="1453"/>
    </row>
    <row r="36" spans="1:73" s="190" customFormat="1" ht="11.85" customHeight="1">
      <c r="A36" s="1218" t="s">
        <v>580</v>
      </c>
      <c r="B36" s="1218">
        <v>1999514</v>
      </c>
      <c r="C36" s="1219">
        <v>211488.01673531198</v>
      </c>
      <c r="D36" s="1218">
        <v>8946</v>
      </c>
      <c r="E36" s="1219">
        <v>252.55733189099999</v>
      </c>
      <c r="F36" s="1218">
        <v>2008460</v>
      </c>
      <c r="G36" s="1219">
        <v>211740.57406720298</v>
      </c>
      <c r="H36" s="1218">
        <v>22203302</v>
      </c>
      <c r="I36" s="1219">
        <v>62004.328083974993</v>
      </c>
      <c r="J36" s="1218">
        <v>280131</v>
      </c>
      <c r="K36" s="1219">
        <v>255.91857677299998</v>
      </c>
      <c r="L36" s="1218">
        <v>10740</v>
      </c>
      <c r="M36" s="1219">
        <v>17.389299542559993</v>
      </c>
      <c r="N36" s="1218">
        <v>2308787</v>
      </c>
      <c r="O36" s="1219">
        <v>1377.7503870610003</v>
      </c>
      <c r="P36" s="1218">
        <v>272575</v>
      </c>
      <c r="Q36" s="1219">
        <v>269.55458247300015</v>
      </c>
      <c r="R36" s="1218">
        <v>975434</v>
      </c>
      <c r="S36" s="1219">
        <v>506.06047521499983</v>
      </c>
      <c r="T36" s="1218">
        <v>140437</v>
      </c>
      <c r="U36" s="1219">
        <v>79.838194278800017</v>
      </c>
      <c r="V36" s="1218">
        <v>3988104</v>
      </c>
      <c r="W36" s="1219">
        <v>2506.5115153433608</v>
      </c>
      <c r="X36" s="1219">
        <v>8332.1782330310016</v>
      </c>
      <c r="Y36" s="1218" t="s">
        <v>580</v>
      </c>
      <c r="Z36" s="1218">
        <v>33380373</v>
      </c>
      <c r="AA36" s="1219">
        <v>35304.61289415299</v>
      </c>
      <c r="AB36" s="1218">
        <v>25762</v>
      </c>
      <c r="AC36" s="1219">
        <v>72.844545650000001</v>
      </c>
      <c r="AD36" s="1218">
        <v>2401494</v>
      </c>
      <c r="AE36" s="1219">
        <v>799.10875257500015</v>
      </c>
      <c r="AF36" s="1218">
        <v>76612</v>
      </c>
      <c r="AG36" s="1219">
        <v>61.860976347999994</v>
      </c>
      <c r="AH36" s="1218">
        <v>2664740</v>
      </c>
      <c r="AI36" s="1219">
        <v>492.34365736299992</v>
      </c>
      <c r="AJ36" s="1218">
        <v>88534</v>
      </c>
      <c r="AK36" s="1219">
        <v>34.53358841899999</v>
      </c>
      <c r="AL36" s="1218">
        <v>38637515</v>
      </c>
      <c r="AM36" s="1219">
        <v>36765.304414507991</v>
      </c>
      <c r="AN36" s="1218">
        <v>373707</v>
      </c>
      <c r="AO36" s="1219">
        <v>245.77525462099996</v>
      </c>
      <c r="AP36" s="1218">
        <v>147797</v>
      </c>
      <c r="AQ36" s="1219">
        <v>84.293147823351987</v>
      </c>
      <c r="AR36" s="1218">
        <v>40609</v>
      </c>
      <c r="AS36" s="1219">
        <v>58.059567094000002</v>
      </c>
      <c r="AT36" s="1218">
        <v>92671</v>
      </c>
      <c r="AU36" s="1219">
        <v>79.542084027000016</v>
      </c>
      <c r="AV36" s="1218">
        <v>66752</v>
      </c>
      <c r="AW36" s="1219">
        <v>18.188469929</v>
      </c>
      <c r="AX36" s="1218" t="s">
        <v>580</v>
      </c>
      <c r="AY36" s="1218">
        <v>200032</v>
      </c>
      <c r="AZ36" s="1219">
        <v>155.79012105000001</v>
      </c>
      <c r="BA36" s="1248">
        <v>43347155</v>
      </c>
      <c r="BB36" s="1219">
        <v>39757.674453345709</v>
      </c>
      <c r="BC36" s="1218">
        <v>2136173</v>
      </c>
      <c r="BD36" s="1218">
        <v>30244096</v>
      </c>
      <c r="BE36" s="1218">
        <v>3487706</v>
      </c>
      <c r="BF36" s="1218">
        <v>35867975</v>
      </c>
      <c r="BG36" s="1218">
        <v>6432921</v>
      </c>
      <c r="BH36" s="1218">
        <v>6901854</v>
      </c>
      <c r="BI36" s="1219">
        <v>33925.579326465006</v>
      </c>
      <c r="BJ36" s="1218">
        <v>1569112</v>
      </c>
      <c r="BK36" s="1218">
        <v>462957809</v>
      </c>
      <c r="BL36" s="1219">
        <v>100593.41971264863</v>
      </c>
      <c r="BM36" s="1218">
        <v>194125137</v>
      </c>
      <c r="BN36" s="1218">
        <v>15270</v>
      </c>
      <c r="BO36" s="1218">
        <v>15829033</v>
      </c>
      <c r="BP36" s="1219">
        <v>70970.068731453008</v>
      </c>
      <c r="BQ36" s="1218">
        <v>17760150</v>
      </c>
      <c r="BR36" s="1218">
        <v>13501</v>
      </c>
      <c r="BS36" s="1218">
        <v>102865</v>
      </c>
      <c r="BT36" s="1349"/>
      <c r="BU36" s="1453"/>
    </row>
    <row r="37" spans="1:73" s="190" customFormat="1" ht="11.85" customHeight="1">
      <c r="A37" s="1216" t="s">
        <v>581</v>
      </c>
      <c r="B37" s="1216">
        <v>1732955</v>
      </c>
      <c r="C37" s="1217">
        <v>192470.50241532901</v>
      </c>
      <c r="D37" s="1216">
        <v>7736</v>
      </c>
      <c r="E37" s="1217">
        <v>1262.2011276440001</v>
      </c>
      <c r="F37" s="1216">
        <v>1740691</v>
      </c>
      <c r="G37" s="1217">
        <v>193732.703542973</v>
      </c>
      <c r="H37" s="1216">
        <v>23703801</v>
      </c>
      <c r="I37" s="1217">
        <v>54405.727886517998</v>
      </c>
      <c r="J37" s="1216">
        <v>265435</v>
      </c>
      <c r="K37" s="1217">
        <v>239.69049316600004</v>
      </c>
      <c r="L37" s="1216">
        <v>9988</v>
      </c>
      <c r="M37" s="1217">
        <v>16.571563401399999</v>
      </c>
      <c r="N37" s="1216">
        <v>2092907</v>
      </c>
      <c r="O37" s="1217">
        <v>1269.263364118</v>
      </c>
      <c r="P37" s="1216">
        <v>245334</v>
      </c>
      <c r="Q37" s="1217">
        <v>239.21723389749999</v>
      </c>
      <c r="R37" s="1216">
        <v>916622</v>
      </c>
      <c r="S37" s="1217">
        <v>477.34085432900002</v>
      </c>
      <c r="T37" s="1216">
        <v>131818</v>
      </c>
      <c r="U37" s="1217">
        <v>70.782231648999982</v>
      </c>
      <c r="V37" s="1216">
        <v>3662104</v>
      </c>
      <c r="W37" s="1217">
        <v>2312.8657405609001</v>
      </c>
      <c r="X37" s="1217">
        <v>8114.580758275999</v>
      </c>
      <c r="Y37" s="1216" t="s">
        <v>581</v>
      </c>
      <c r="Z37" s="1216">
        <v>32847627</v>
      </c>
      <c r="AA37" s="1217">
        <v>35384.468397060002</v>
      </c>
      <c r="AB37" s="1216">
        <v>23770</v>
      </c>
      <c r="AC37" s="1217">
        <v>72.480253502000011</v>
      </c>
      <c r="AD37" s="1216">
        <v>2072201</v>
      </c>
      <c r="AE37" s="1217">
        <v>721.60168254200005</v>
      </c>
      <c r="AF37" s="1216">
        <v>71204</v>
      </c>
      <c r="AG37" s="1217">
        <v>55.600777983</v>
      </c>
      <c r="AH37" s="1216">
        <v>2441934</v>
      </c>
      <c r="AI37" s="1217">
        <v>426.287958807</v>
      </c>
      <c r="AJ37" s="1216">
        <v>78011</v>
      </c>
      <c r="AK37" s="1217">
        <v>29.819034137000003</v>
      </c>
      <c r="AL37" s="1216">
        <v>37534747</v>
      </c>
      <c r="AM37" s="1217">
        <v>36690.258104031003</v>
      </c>
      <c r="AN37" s="1216">
        <v>363365</v>
      </c>
      <c r="AO37" s="1217">
        <v>229.81788644299999</v>
      </c>
      <c r="AP37" s="1216">
        <v>135062</v>
      </c>
      <c r="AQ37" s="1217">
        <v>73.056679541920005</v>
      </c>
      <c r="AR37" s="1216">
        <v>36215</v>
      </c>
      <c r="AS37" s="1217">
        <v>56.451499999999996</v>
      </c>
      <c r="AT37" s="1216">
        <v>82202</v>
      </c>
      <c r="AU37" s="1217">
        <v>82.847564025469993</v>
      </c>
      <c r="AV37" s="1216">
        <v>61624</v>
      </c>
      <c r="AW37" s="1217">
        <v>18.961686252000003</v>
      </c>
      <c r="AX37" s="1216" t="s">
        <v>581</v>
      </c>
      <c r="AY37" s="1216">
        <v>180041</v>
      </c>
      <c r="AZ37" s="1217">
        <v>158.26075027747001</v>
      </c>
      <c r="BA37" s="1256">
        <v>41875319</v>
      </c>
      <c r="BB37" s="1217">
        <v>39464.259160854286</v>
      </c>
      <c r="BC37" s="1216">
        <v>2158816</v>
      </c>
      <c r="BD37" s="1216">
        <v>30652242</v>
      </c>
      <c r="BE37" s="1216">
        <v>3609114</v>
      </c>
      <c r="BF37" s="1216">
        <v>36420172</v>
      </c>
      <c r="BG37" s="1216">
        <v>6569164</v>
      </c>
      <c r="BH37" s="1216">
        <v>5709234</v>
      </c>
      <c r="BI37" s="1217">
        <v>29385.875278543001</v>
      </c>
      <c r="BJ37" s="1216">
        <v>1581284</v>
      </c>
      <c r="BK37" s="1216">
        <v>450945081</v>
      </c>
      <c r="BL37" s="1217">
        <v>97307.587125448146</v>
      </c>
      <c r="BM37" s="1216">
        <v>196759171</v>
      </c>
      <c r="BN37" s="1216">
        <v>15376</v>
      </c>
      <c r="BO37" s="1216">
        <v>16889984</v>
      </c>
      <c r="BP37" s="1217">
        <v>63510.777514418005</v>
      </c>
      <c r="BQ37" s="1216">
        <v>18365881</v>
      </c>
      <c r="BR37" s="1216">
        <v>13524</v>
      </c>
      <c r="BS37" s="1216">
        <v>103199</v>
      </c>
      <c r="BT37" s="1349"/>
      <c r="BU37" s="1453"/>
    </row>
    <row r="38" spans="1:73" s="190" customFormat="1" ht="11.85" customHeight="1">
      <c r="A38" s="1218" t="s">
        <v>573</v>
      </c>
      <c r="B38" s="1218">
        <v>1883580</v>
      </c>
      <c r="C38" s="1219">
        <v>209093.74515308102</v>
      </c>
      <c r="D38" s="1218">
        <v>8206</v>
      </c>
      <c r="E38" s="1219">
        <v>235.41120403000002</v>
      </c>
      <c r="F38" s="1218">
        <v>1891786</v>
      </c>
      <c r="G38" s="1219">
        <v>209329.15635711103</v>
      </c>
      <c r="H38" s="1218">
        <v>12996763</v>
      </c>
      <c r="I38" s="1219">
        <v>58432.219160667999</v>
      </c>
      <c r="J38" s="1218">
        <v>295658</v>
      </c>
      <c r="K38" s="1219">
        <v>267.85354900700003</v>
      </c>
      <c r="L38" s="1218">
        <v>11404</v>
      </c>
      <c r="M38" s="1219">
        <v>18.800908600899998</v>
      </c>
      <c r="N38" s="1218">
        <v>2270054</v>
      </c>
      <c r="O38" s="1219">
        <v>1469.0348755470004</v>
      </c>
      <c r="P38" s="1218">
        <v>277495</v>
      </c>
      <c r="Q38" s="1219">
        <v>256.67316405399998</v>
      </c>
      <c r="R38" s="1218">
        <v>1043445</v>
      </c>
      <c r="S38" s="1219">
        <v>552.891557702</v>
      </c>
      <c r="T38" s="1218">
        <v>151054</v>
      </c>
      <c r="U38" s="1219">
        <v>87.062162251500027</v>
      </c>
      <c r="V38" s="1218">
        <v>4049110</v>
      </c>
      <c r="W38" s="1219">
        <v>2652.3162171623999</v>
      </c>
      <c r="X38" s="1219">
        <v>8621.9290595080001</v>
      </c>
      <c r="Y38" s="1218" t="s">
        <v>573</v>
      </c>
      <c r="Z38" s="1218">
        <v>37357707</v>
      </c>
      <c r="AA38" s="1219">
        <v>40731.375458905008</v>
      </c>
      <c r="AB38" s="1218">
        <v>26673</v>
      </c>
      <c r="AC38" s="1219">
        <v>73.601717248400007</v>
      </c>
      <c r="AD38" s="1218">
        <v>2353260</v>
      </c>
      <c r="AE38" s="1219">
        <v>885.05563324700006</v>
      </c>
      <c r="AF38" s="1218">
        <v>82700</v>
      </c>
      <c r="AG38" s="1219">
        <v>61.129308363000007</v>
      </c>
      <c r="AH38" s="1218">
        <v>2675176</v>
      </c>
      <c r="AI38" s="1219">
        <v>473.58371882200009</v>
      </c>
      <c r="AJ38" s="1218">
        <v>93329</v>
      </c>
      <c r="AK38" s="1219">
        <v>34.896888752000002</v>
      </c>
      <c r="AL38" s="1218">
        <v>42588845</v>
      </c>
      <c r="AM38" s="1219">
        <v>42259.642725337413</v>
      </c>
      <c r="AN38" s="1218">
        <v>396901</v>
      </c>
      <c r="AO38" s="1219">
        <v>247.84704405800002</v>
      </c>
      <c r="AP38" s="1218">
        <v>148072</v>
      </c>
      <c r="AQ38" s="1219">
        <v>78.410345142000011</v>
      </c>
      <c r="AR38" s="1218">
        <v>38153</v>
      </c>
      <c r="AS38" s="1219">
        <v>56.443478499999998</v>
      </c>
      <c r="AT38" s="1218">
        <v>82557</v>
      </c>
      <c r="AU38" s="1219">
        <v>90.606870523250009</v>
      </c>
      <c r="AV38" s="1218">
        <v>68721</v>
      </c>
      <c r="AW38" s="1219">
        <v>27.117265508999999</v>
      </c>
      <c r="AX38" s="1564" t="s">
        <v>573</v>
      </c>
      <c r="AY38" s="1218">
        <v>189431</v>
      </c>
      <c r="AZ38" s="1219">
        <v>174.16761453224998</v>
      </c>
      <c r="BA38" s="1248">
        <v>47372359</v>
      </c>
      <c r="BB38" s="1219">
        <v>45412.383946232068</v>
      </c>
      <c r="BC38" s="1218">
        <v>2178046</v>
      </c>
      <c r="BD38" s="1218">
        <v>30997335</v>
      </c>
      <c r="BE38" s="1218">
        <v>3745357</v>
      </c>
      <c r="BF38" s="1218">
        <v>36920738</v>
      </c>
      <c r="BG38" s="1218">
        <v>6710423</v>
      </c>
      <c r="BH38" s="1218">
        <v>6532095</v>
      </c>
      <c r="BI38" s="1219">
        <v>33557.426629867994</v>
      </c>
      <c r="BJ38" s="1218">
        <v>1598000</v>
      </c>
      <c r="BK38" s="1218">
        <v>482456025</v>
      </c>
      <c r="BL38" s="1219">
        <v>108467.26551336258</v>
      </c>
      <c r="BM38" s="1218">
        <v>198091783</v>
      </c>
      <c r="BN38" s="1218">
        <v>15409</v>
      </c>
      <c r="BO38" s="1218">
        <v>15428976</v>
      </c>
      <c r="BP38" s="1219">
        <v>77530.200648072001</v>
      </c>
      <c r="BQ38" s="1218">
        <v>18935184</v>
      </c>
      <c r="BR38" s="1218">
        <v>13568</v>
      </c>
      <c r="BS38" s="1218">
        <v>105413</v>
      </c>
      <c r="BT38" s="1349"/>
      <c r="BU38" s="1453"/>
    </row>
    <row r="39" spans="1:73" s="190" customFormat="1" ht="11.85" customHeight="1">
      <c r="A39" s="1216" t="s">
        <v>582</v>
      </c>
      <c r="B39" s="1216">
        <v>1713849</v>
      </c>
      <c r="C39" s="1217">
        <v>188173.34884155999</v>
      </c>
      <c r="D39" s="1216">
        <v>8122</v>
      </c>
      <c r="E39" s="1217">
        <v>211.85</v>
      </c>
      <c r="F39" s="1216">
        <v>1721971</v>
      </c>
      <c r="G39" s="1217">
        <v>188385.19884155999</v>
      </c>
      <c r="H39" s="1216">
        <v>27049634</v>
      </c>
      <c r="I39" s="1217">
        <v>61014.54</v>
      </c>
      <c r="J39" s="1216">
        <v>268043</v>
      </c>
      <c r="K39" s="1217">
        <v>247.67451288800004</v>
      </c>
      <c r="L39" s="1216">
        <v>10959</v>
      </c>
      <c r="M39" s="1217">
        <v>19.047993203880001</v>
      </c>
      <c r="N39" s="1216">
        <v>2600018</v>
      </c>
      <c r="O39" s="1217">
        <v>1630.4058550739999</v>
      </c>
      <c r="P39" s="1216">
        <v>250153</v>
      </c>
      <c r="Q39" s="1217">
        <v>228.54226865959998</v>
      </c>
      <c r="R39" s="1216">
        <v>1002520</v>
      </c>
      <c r="S39" s="1217">
        <v>539.97721904799982</v>
      </c>
      <c r="T39" s="1216">
        <v>145696</v>
      </c>
      <c r="U39" s="1217">
        <v>80.723185448099983</v>
      </c>
      <c r="V39" s="1216">
        <v>4277389</v>
      </c>
      <c r="W39" s="1217">
        <v>2746.3710343215794</v>
      </c>
      <c r="X39" s="1217">
        <v>8794.1732905360004</v>
      </c>
      <c r="Y39" s="1216" t="s">
        <v>582</v>
      </c>
      <c r="Z39" s="1216">
        <v>40382417</v>
      </c>
      <c r="AA39" s="1217">
        <v>42392.196683619994</v>
      </c>
      <c r="AB39" s="1216">
        <v>22198</v>
      </c>
      <c r="AC39" s="1217">
        <v>52.716719892</v>
      </c>
      <c r="AD39" s="1216">
        <v>2937695</v>
      </c>
      <c r="AE39" s="1217">
        <v>1080.573079886</v>
      </c>
      <c r="AF39" s="1216">
        <v>73764</v>
      </c>
      <c r="AG39" s="1217">
        <v>54.938741522999997</v>
      </c>
      <c r="AH39" s="1216">
        <v>2926674</v>
      </c>
      <c r="AI39" s="1217">
        <v>531.01610049800001</v>
      </c>
      <c r="AJ39" s="1216">
        <v>87541</v>
      </c>
      <c r="AK39" s="1217">
        <v>32.811717669000004</v>
      </c>
      <c r="AL39" s="1216">
        <v>46430289</v>
      </c>
      <c r="AM39" s="1217">
        <v>44144.253043088007</v>
      </c>
      <c r="AN39" s="1216">
        <v>454017</v>
      </c>
      <c r="AO39" s="1217">
        <v>288.50365139400003</v>
      </c>
      <c r="AP39" s="1216">
        <v>121747</v>
      </c>
      <c r="AQ39" s="1217">
        <v>67.944226305300006</v>
      </c>
      <c r="AR39" s="1216">
        <v>34957</v>
      </c>
      <c r="AS39" s="1217">
        <v>52.611800000000002</v>
      </c>
      <c r="AT39" s="1216">
        <v>63761</v>
      </c>
      <c r="AU39" s="1217">
        <v>56.531326843999992</v>
      </c>
      <c r="AV39" s="1216">
        <v>73967</v>
      </c>
      <c r="AW39" s="1217">
        <v>29.481672321999998</v>
      </c>
      <c r="AX39" s="1556" t="s">
        <v>582</v>
      </c>
      <c r="AY39" s="1216">
        <v>172685</v>
      </c>
      <c r="AZ39" s="1217">
        <v>138.624799166</v>
      </c>
      <c r="BA39" s="1256">
        <v>51456127</v>
      </c>
      <c r="BB39" s="1217">
        <v>47385.69675427489</v>
      </c>
      <c r="BC39" s="1216">
        <v>2198834</v>
      </c>
      <c r="BD39" s="1216">
        <v>31305571</v>
      </c>
      <c r="BE39" s="1216">
        <v>3870178</v>
      </c>
      <c r="BF39" s="1216">
        <v>37374583</v>
      </c>
      <c r="BG39" s="1216">
        <v>6930832</v>
      </c>
      <c r="BH39" s="1216">
        <v>7695750</v>
      </c>
      <c r="BI39" s="1217">
        <v>44638.406156489</v>
      </c>
      <c r="BJ39" s="1216">
        <v>1555791</v>
      </c>
      <c r="BK39" s="1216">
        <v>531055866</v>
      </c>
      <c r="BL39" s="1217">
        <v>124954.00198143101</v>
      </c>
      <c r="BM39" s="1216">
        <v>200689210</v>
      </c>
      <c r="BN39" s="1216">
        <v>15411</v>
      </c>
      <c r="BO39" s="1216">
        <v>16270577</v>
      </c>
      <c r="BP39" s="1217">
        <v>64255.874040659997</v>
      </c>
      <c r="BQ39" s="1216">
        <v>19248377</v>
      </c>
      <c r="BR39" s="1216">
        <v>13614</v>
      </c>
      <c r="BS39" s="1216">
        <v>106514</v>
      </c>
      <c r="BT39" s="1349"/>
      <c r="BU39" s="1453"/>
    </row>
    <row r="40" spans="1:73" s="190" customFormat="1" ht="11.85" customHeight="1">
      <c r="A40" s="1218" t="s">
        <v>583</v>
      </c>
      <c r="B40" s="1218">
        <v>1902985</v>
      </c>
      <c r="C40" s="1219">
        <v>205125.25301546598</v>
      </c>
      <c r="D40" s="1218">
        <v>8684</v>
      </c>
      <c r="E40" s="1219">
        <v>248.07147578199996</v>
      </c>
      <c r="F40" s="1218">
        <v>1911669</v>
      </c>
      <c r="G40" s="1219">
        <v>205373.32449124797</v>
      </c>
      <c r="H40" s="1218">
        <v>18755955</v>
      </c>
      <c r="I40" s="1219">
        <v>57970.647019796997</v>
      </c>
      <c r="J40" s="1218">
        <v>303120</v>
      </c>
      <c r="K40" s="1219">
        <v>267.53323347399999</v>
      </c>
      <c r="L40" s="1218">
        <v>10345</v>
      </c>
      <c r="M40" s="1219">
        <v>16.987278392049994</v>
      </c>
      <c r="N40" s="1218">
        <v>2208679</v>
      </c>
      <c r="O40" s="1219">
        <v>1380.7753769019996</v>
      </c>
      <c r="P40" s="1218">
        <v>293477</v>
      </c>
      <c r="Q40" s="1219">
        <v>262.06469525700004</v>
      </c>
      <c r="R40" s="1218">
        <v>1070534</v>
      </c>
      <c r="S40" s="1219">
        <v>575.0279003149999</v>
      </c>
      <c r="T40" s="1218">
        <v>169809</v>
      </c>
      <c r="U40" s="1219">
        <v>90.088899666200007</v>
      </c>
      <c r="V40" s="1218">
        <v>4055964</v>
      </c>
      <c r="W40" s="1219">
        <v>2592.4773840062498</v>
      </c>
      <c r="X40" s="1219">
        <v>8862.9412184840021</v>
      </c>
      <c r="Y40" s="1218" t="s">
        <v>583</v>
      </c>
      <c r="Z40" s="1218">
        <v>35970414</v>
      </c>
      <c r="AA40" s="1219">
        <v>37611.945129783999</v>
      </c>
      <c r="AB40" s="1218">
        <v>25639</v>
      </c>
      <c r="AC40" s="1219">
        <v>56.799252552000006</v>
      </c>
      <c r="AD40" s="1218">
        <v>2292050</v>
      </c>
      <c r="AE40" s="1219">
        <v>760.20741863199987</v>
      </c>
      <c r="AF40" s="1218">
        <v>88615</v>
      </c>
      <c r="AG40" s="1219">
        <v>61.959068863999988</v>
      </c>
      <c r="AH40" s="1218">
        <v>2720257</v>
      </c>
      <c r="AI40" s="1219">
        <v>487.37486504700007</v>
      </c>
      <c r="AJ40" s="1218">
        <v>111631</v>
      </c>
      <c r="AK40" s="1219">
        <v>36.678984501000002</v>
      </c>
      <c r="AL40" s="1218">
        <v>41208606</v>
      </c>
      <c r="AM40" s="1219">
        <v>39014.964719379997</v>
      </c>
      <c r="AN40" s="1218">
        <v>362774</v>
      </c>
      <c r="AO40" s="1219">
        <v>217.05043922199997</v>
      </c>
      <c r="AP40" s="1218">
        <v>139752</v>
      </c>
      <c r="AQ40" s="1219">
        <v>136.27326204654997</v>
      </c>
      <c r="AR40" s="1218">
        <v>33992</v>
      </c>
      <c r="AS40" s="1219">
        <v>50.49208999999999</v>
      </c>
      <c r="AT40" s="1218">
        <v>79449</v>
      </c>
      <c r="AU40" s="1219">
        <v>84.748918650000007</v>
      </c>
      <c r="AV40" s="1218">
        <v>76111</v>
      </c>
      <c r="AW40" s="1219">
        <v>25.281637277999998</v>
      </c>
      <c r="AX40" s="1651" t="s">
        <v>583</v>
      </c>
      <c r="AY40" s="1218">
        <v>189552</v>
      </c>
      <c r="AZ40" s="1219">
        <v>160.522645928</v>
      </c>
      <c r="BA40" s="1248">
        <v>45956648</v>
      </c>
      <c r="BB40" s="1219">
        <v>42121.288450582797</v>
      </c>
      <c r="BC40" s="1218">
        <v>2216484</v>
      </c>
      <c r="BD40" s="1218">
        <v>31718430</v>
      </c>
      <c r="BE40" s="1218">
        <v>4037398</v>
      </c>
      <c r="BF40" s="1218">
        <v>37972312</v>
      </c>
      <c r="BG40" s="1218">
        <v>7027516</v>
      </c>
      <c r="BH40" s="1218">
        <v>7393749</v>
      </c>
      <c r="BI40" s="1219">
        <v>49965.953894003003</v>
      </c>
      <c r="BJ40" s="1218">
        <v>1570340</v>
      </c>
      <c r="BK40" s="1218">
        <v>501923307</v>
      </c>
      <c r="BL40" s="1219">
        <v>108355.18746702909</v>
      </c>
      <c r="BM40" s="1218">
        <v>203970186</v>
      </c>
      <c r="BN40" s="1218">
        <v>15473</v>
      </c>
      <c r="BO40" s="1218">
        <v>15276196</v>
      </c>
      <c r="BP40" s="1219">
        <v>72678.846923103993</v>
      </c>
      <c r="BQ40" s="1218">
        <v>19643273</v>
      </c>
      <c r="BR40" s="1218">
        <v>13658</v>
      </c>
      <c r="BS40" s="1218">
        <v>106816</v>
      </c>
      <c r="BT40" s="1349"/>
      <c r="BU40" s="1453"/>
    </row>
    <row r="41" spans="1:73" s="190" customFormat="1" ht="11.85" customHeight="1">
      <c r="A41" s="1216" t="s">
        <v>574</v>
      </c>
      <c r="B41" s="1216">
        <v>2085942</v>
      </c>
      <c r="C41" s="1217">
        <v>249484.19855561701</v>
      </c>
      <c r="D41" s="1216">
        <v>10636</v>
      </c>
      <c r="E41" s="1217">
        <v>298.37432103999998</v>
      </c>
      <c r="F41" s="1216">
        <v>2096578</v>
      </c>
      <c r="G41" s="1217">
        <v>249782.57287665701</v>
      </c>
      <c r="H41" s="1216">
        <v>40161362</v>
      </c>
      <c r="I41" s="1217">
        <v>78321.673839576993</v>
      </c>
      <c r="J41" s="1216">
        <v>284014</v>
      </c>
      <c r="K41" s="1217">
        <v>264.05908712830001</v>
      </c>
      <c r="L41" s="1216">
        <v>8587</v>
      </c>
      <c r="M41" s="1217">
        <v>14.93726600962</v>
      </c>
      <c r="N41" s="1216">
        <v>2214713</v>
      </c>
      <c r="O41" s="1217">
        <v>1439.8010974270001</v>
      </c>
      <c r="P41" s="1216">
        <v>244345</v>
      </c>
      <c r="Q41" s="1217">
        <v>211.439721929</v>
      </c>
      <c r="R41" s="1216">
        <v>998662</v>
      </c>
      <c r="S41" s="1217">
        <v>569.98155423699995</v>
      </c>
      <c r="T41" s="1216">
        <v>155138</v>
      </c>
      <c r="U41" s="1217">
        <v>82.270560664000001</v>
      </c>
      <c r="V41" s="1216">
        <v>3905459</v>
      </c>
      <c r="W41" s="1217">
        <v>2583.02107154962</v>
      </c>
      <c r="X41" s="1217">
        <v>8937.9329594219998</v>
      </c>
      <c r="Y41" s="1216" t="s">
        <v>574</v>
      </c>
      <c r="Z41" s="1216">
        <v>39738111</v>
      </c>
      <c r="AA41" s="1217">
        <v>43553.238976749999</v>
      </c>
      <c r="AB41" s="1216">
        <v>26394</v>
      </c>
      <c r="AC41" s="1217">
        <v>55.170019568000001</v>
      </c>
      <c r="AD41" s="1216">
        <v>2583539</v>
      </c>
      <c r="AE41" s="1217">
        <v>1074.9306049750001</v>
      </c>
      <c r="AF41" s="1216">
        <v>85015</v>
      </c>
      <c r="AG41" s="1217">
        <v>57.879777494000002</v>
      </c>
      <c r="AH41" s="1216">
        <v>2918363</v>
      </c>
      <c r="AI41" s="1217">
        <v>566.87687714900005</v>
      </c>
      <c r="AJ41" s="1216">
        <v>118195</v>
      </c>
      <c r="AK41" s="1217">
        <v>40.337390169999999</v>
      </c>
      <c r="AL41" s="1216">
        <v>45469617</v>
      </c>
      <c r="AM41" s="1217">
        <v>45348.433646106001</v>
      </c>
      <c r="AN41" s="1216">
        <v>506407</v>
      </c>
      <c r="AO41" s="1217">
        <v>336.01673139899998</v>
      </c>
      <c r="AP41" s="1216">
        <v>124156</v>
      </c>
      <c r="AQ41" s="1217">
        <v>81.220770417500006</v>
      </c>
      <c r="AR41" s="1216">
        <v>44276</v>
      </c>
      <c r="AS41" s="1217">
        <v>63.328069999999997</v>
      </c>
      <c r="AT41" s="1216">
        <v>98187</v>
      </c>
      <c r="AU41" s="1217">
        <v>114.06923855060001</v>
      </c>
      <c r="AV41" s="1216">
        <v>101349</v>
      </c>
      <c r="AW41" s="1217">
        <v>67.972083705000003</v>
      </c>
      <c r="AX41" s="1216" t="s">
        <v>574</v>
      </c>
      <c r="AY41" s="1216">
        <v>243812</v>
      </c>
      <c r="AZ41" s="1217">
        <v>245.36939225559999</v>
      </c>
      <c r="BA41" s="1256">
        <v>50249451</v>
      </c>
      <c r="BB41" s="1217">
        <v>48594.061611727702</v>
      </c>
      <c r="BC41" s="1216">
        <v>2238663</v>
      </c>
      <c r="BD41" s="1216">
        <v>32131984</v>
      </c>
      <c r="BE41" s="1216">
        <v>4269805</v>
      </c>
      <c r="BF41" s="1216">
        <v>38640452</v>
      </c>
      <c r="BG41" s="1216">
        <v>7237380</v>
      </c>
      <c r="BH41" s="1216">
        <v>8272522</v>
      </c>
      <c r="BI41" s="1217">
        <v>49099.267946270003</v>
      </c>
      <c r="BJ41" s="1216">
        <v>1585722</v>
      </c>
      <c r="BK41" s="1216">
        <v>572615005</v>
      </c>
      <c r="BL41" s="1217">
        <v>132175.29993617701</v>
      </c>
      <c r="BM41" s="1216">
        <v>207268646</v>
      </c>
      <c r="BN41" s="1216">
        <v>15510</v>
      </c>
      <c r="BO41" s="1216">
        <v>18090010</v>
      </c>
      <c r="BP41" s="1217">
        <v>68171.600000000006</v>
      </c>
      <c r="BQ41" s="1216">
        <v>19850911</v>
      </c>
      <c r="BR41" s="1216">
        <v>13704</v>
      </c>
      <c r="BS41" s="1216">
        <v>106733</v>
      </c>
      <c r="BT41" s="1349"/>
      <c r="BU41" s="1453"/>
    </row>
    <row r="42" spans="1:73" s="191" customFormat="1" ht="9.75" customHeight="1">
      <c r="A42" s="1677" t="s">
        <v>2515</v>
      </c>
      <c r="B42" s="1218"/>
      <c r="C42" s="1219"/>
      <c r="D42" s="1218"/>
      <c r="E42" s="1219"/>
      <c r="F42" s="1218"/>
      <c r="G42" s="1219"/>
      <c r="H42" s="1218"/>
      <c r="I42" s="1219"/>
      <c r="J42" s="1218"/>
      <c r="K42" s="1219"/>
      <c r="L42" s="1218"/>
      <c r="M42" s="1219"/>
      <c r="N42" s="1218"/>
      <c r="O42" s="1219"/>
      <c r="P42" s="1218"/>
      <c r="Q42" s="1219"/>
      <c r="R42" s="1218"/>
      <c r="S42" s="1219"/>
      <c r="T42" s="1218"/>
      <c r="U42" s="1219"/>
      <c r="V42" s="1218"/>
      <c r="W42" s="1219"/>
      <c r="X42" s="1219"/>
      <c r="Y42" s="1677" t="s">
        <v>2515</v>
      </c>
      <c r="Z42" s="1218"/>
      <c r="AA42" s="1219"/>
      <c r="AB42" s="1218"/>
      <c r="AC42" s="1219"/>
      <c r="AD42" s="1218"/>
      <c r="AE42" s="1219"/>
      <c r="AF42" s="1218"/>
      <c r="AG42" s="1219"/>
      <c r="AH42" s="1218"/>
      <c r="AI42" s="1219"/>
      <c r="AJ42" s="1218"/>
      <c r="AK42" s="1219"/>
      <c r="AL42" s="1218"/>
      <c r="AM42" s="1219"/>
      <c r="AN42" s="1218"/>
      <c r="AO42" s="1219"/>
      <c r="AP42" s="1218"/>
      <c r="AQ42" s="1219"/>
      <c r="AR42" s="1218"/>
      <c r="AS42" s="1219"/>
      <c r="AT42" s="1218"/>
      <c r="AU42" s="1219"/>
      <c r="AV42" s="1218"/>
      <c r="AW42" s="1219"/>
      <c r="AX42" s="1677" t="s">
        <v>2515</v>
      </c>
      <c r="AY42" s="1218"/>
      <c r="AZ42" s="1219"/>
      <c r="BA42" s="1248"/>
      <c r="BB42" s="1219"/>
      <c r="BC42" s="1218"/>
      <c r="BD42" s="1218"/>
      <c r="BE42" s="1218"/>
      <c r="BF42" s="1218"/>
      <c r="BG42" s="1218"/>
      <c r="BH42" s="1218"/>
      <c r="BI42" s="1219"/>
      <c r="BJ42" s="1218"/>
      <c r="BK42" s="1218"/>
      <c r="BL42" s="1219"/>
      <c r="BM42" s="1218"/>
      <c r="BN42" s="1218"/>
      <c r="BO42" s="1218"/>
      <c r="BP42" s="1219"/>
      <c r="BQ42" s="1218"/>
      <c r="BR42" s="1218"/>
      <c r="BS42" s="1218"/>
      <c r="BT42" s="1675"/>
      <c r="BU42" s="1676"/>
    </row>
    <row r="43" spans="1:73" s="190" customFormat="1" ht="11.85" customHeight="1">
      <c r="A43" s="1216" t="s">
        <v>576</v>
      </c>
      <c r="B43" s="1216">
        <v>1698503</v>
      </c>
      <c r="C43" s="1217">
        <v>210366.77721241894</v>
      </c>
      <c r="D43" s="1216">
        <v>9186</v>
      </c>
      <c r="E43" s="1217">
        <v>236.48079004600001</v>
      </c>
      <c r="F43" s="1216">
        <f t="shared" ref="F43:G46" si="12">B43+D43</f>
        <v>1707689</v>
      </c>
      <c r="G43" s="1217">
        <f t="shared" si="12"/>
        <v>210603.25800246492</v>
      </c>
      <c r="H43" s="1216">
        <v>11436309</v>
      </c>
      <c r="I43" s="1217">
        <v>60564.028841293984</v>
      </c>
      <c r="J43" s="1216">
        <v>307281</v>
      </c>
      <c r="K43" s="1217">
        <v>261.544496751</v>
      </c>
      <c r="L43" s="1216">
        <v>12831</v>
      </c>
      <c r="M43" s="1217">
        <v>23.109241840400003</v>
      </c>
      <c r="N43" s="1216">
        <v>2338888</v>
      </c>
      <c r="O43" s="1217">
        <v>1346.3737255719998</v>
      </c>
      <c r="P43" s="1216">
        <v>362023</v>
      </c>
      <c r="Q43" s="1217">
        <v>338.50285320689994</v>
      </c>
      <c r="R43" s="1216">
        <v>1096296</v>
      </c>
      <c r="S43" s="1217">
        <v>596.634285793</v>
      </c>
      <c r="T43" s="1216">
        <v>177080</v>
      </c>
      <c r="U43" s="1217">
        <v>108.21664897110004</v>
      </c>
      <c r="V43" s="1216">
        <v>4294399</v>
      </c>
      <c r="W43" s="1217">
        <v>2674.3812521344003</v>
      </c>
      <c r="X43" s="1217">
        <v>9094.9524403349988</v>
      </c>
      <c r="Y43" s="1216" t="s">
        <v>576</v>
      </c>
      <c r="Z43" s="1216">
        <v>32469129</v>
      </c>
      <c r="AA43" s="1217">
        <v>32740.432400392001</v>
      </c>
      <c r="AB43" s="1216">
        <v>33218</v>
      </c>
      <c r="AC43" s="1217">
        <v>73.733184509999987</v>
      </c>
      <c r="AD43" s="1216">
        <v>2547176</v>
      </c>
      <c r="AE43" s="1217">
        <v>953.47974511799987</v>
      </c>
      <c r="AF43" s="1216">
        <v>117185</v>
      </c>
      <c r="AG43" s="1217">
        <v>89.431046025000015</v>
      </c>
      <c r="AH43" s="1216">
        <v>2870391</v>
      </c>
      <c r="AI43" s="1217">
        <v>553.68705178399978</v>
      </c>
      <c r="AJ43" s="1216">
        <v>131311</v>
      </c>
      <c r="AK43" s="1217">
        <v>45.960117920000002</v>
      </c>
      <c r="AL43" s="1216">
        <v>38168410</v>
      </c>
      <c r="AM43" s="1217">
        <v>34456.723545749002</v>
      </c>
      <c r="AN43" s="1216">
        <v>381496</v>
      </c>
      <c r="AO43" s="1217">
        <v>209.766902367</v>
      </c>
      <c r="AP43" s="1216">
        <v>131595</v>
      </c>
      <c r="AQ43" s="1217">
        <v>90.085327975100014</v>
      </c>
      <c r="AR43" s="1216">
        <v>41136</v>
      </c>
      <c r="AS43" s="1217">
        <v>58.186640000000011</v>
      </c>
      <c r="AT43" s="1216">
        <v>106844</v>
      </c>
      <c r="AU43" s="1217">
        <v>113.9594153944</v>
      </c>
      <c r="AV43" s="1216">
        <v>105471</v>
      </c>
      <c r="AW43" s="1217">
        <v>66.602287795999999</v>
      </c>
      <c r="AX43" s="1216" t="s">
        <v>576</v>
      </c>
      <c r="AY43" s="1216">
        <v>253451</v>
      </c>
      <c r="AZ43" s="1217">
        <v>238.74834319039996</v>
      </c>
      <c r="BA43" s="1256">
        <v>43229351</v>
      </c>
      <c r="BB43" s="1217">
        <v>37669.70537141589</v>
      </c>
      <c r="BC43" s="1216">
        <v>2268371</v>
      </c>
      <c r="BD43" s="1216">
        <v>32666507</v>
      </c>
      <c r="BE43" s="1216">
        <v>4409712</v>
      </c>
      <c r="BF43" s="1216">
        <f t="shared" ref="BF43:BF48" si="13">BC43+BD43+BE43</f>
        <v>39344590</v>
      </c>
      <c r="BG43" s="1216">
        <v>7442964</v>
      </c>
      <c r="BH43" s="1216">
        <v>7807126</v>
      </c>
      <c r="BI43" s="1217">
        <v>46243.446591025997</v>
      </c>
      <c r="BJ43" s="1216">
        <v>1601445</v>
      </c>
      <c r="BK43" s="1216">
        <v>483531836</v>
      </c>
      <c r="BL43" s="1217">
        <v>98306.850671469001</v>
      </c>
      <c r="BM43" s="1216">
        <v>209569834</v>
      </c>
      <c r="BN43" s="1216">
        <v>15574</v>
      </c>
      <c r="BO43" s="1216">
        <v>14858617</v>
      </c>
      <c r="BP43" s="1217">
        <v>68004.100000000006</v>
      </c>
      <c r="BQ43" s="1216">
        <v>20154126</v>
      </c>
      <c r="BR43" s="1216">
        <v>13725</v>
      </c>
      <c r="BS43" s="1216">
        <v>106832</v>
      </c>
      <c r="BT43" s="1349"/>
      <c r="BU43" s="1453"/>
    </row>
    <row r="44" spans="1:73" s="190" customFormat="1" ht="11.85" customHeight="1">
      <c r="A44" s="1218" t="s">
        <v>577</v>
      </c>
      <c r="B44" s="1218">
        <v>1698614</v>
      </c>
      <c r="C44" s="1219">
        <v>212753.76986995997</v>
      </c>
      <c r="D44" s="1218">
        <v>8849</v>
      </c>
      <c r="E44" s="1219">
        <v>227.395696692</v>
      </c>
      <c r="F44" s="1248">
        <f t="shared" si="12"/>
        <v>1707463</v>
      </c>
      <c r="G44" s="1219">
        <f t="shared" si="12"/>
        <v>212981.16556665197</v>
      </c>
      <c r="H44" s="1218">
        <v>12035293</v>
      </c>
      <c r="I44" s="1219">
        <v>62303.407874569995</v>
      </c>
      <c r="J44" s="1218">
        <v>325854</v>
      </c>
      <c r="K44" s="1219">
        <v>278.17162491900001</v>
      </c>
      <c r="L44" s="1218">
        <v>9812</v>
      </c>
      <c r="M44" s="1219">
        <v>16.321894176000004</v>
      </c>
      <c r="N44" s="1218">
        <v>2415852</v>
      </c>
      <c r="O44" s="1219">
        <v>1362.3112226349995</v>
      </c>
      <c r="P44" s="1218">
        <v>270179</v>
      </c>
      <c r="Q44" s="1219">
        <v>231.69098848199999</v>
      </c>
      <c r="R44" s="1218">
        <v>1134101</v>
      </c>
      <c r="S44" s="1219">
        <v>599.03707768999993</v>
      </c>
      <c r="T44" s="1218">
        <v>200399</v>
      </c>
      <c r="U44" s="1219">
        <v>104.09684516050002</v>
      </c>
      <c r="V44" s="1218">
        <v>4356197</v>
      </c>
      <c r="W44" s="1219">
        <v>2591.6296530624995</v>
      </c>
      <c r="X44" s="1219">
        <v>9150.417508165001</v>
      </c>
      <c r="Y44" s="1218" t="s">
        <v>577</v>
      </c>
      <c r="Z44" s="1218">
        <v>33588910</v>
      </c>
      <c r="AA44" s="1219">
        <v>36028.081620524004</v>
      </c>
      <c r="AB44" s="1218">
        <v>32986</v>
      </c>
      <c r="AC44" s="1219">
        <v>91.740850253000019</v>
      </c>
      <c r="AD44" s="1218">
        <v>2623129</v>
      </c>
      <c r="AE44" s="1219">
        <v>994.10892778799973</v>
      </c>
      <c r="AF44" s="1218">
        <v>105419</v>
      </c>
      <c r="AG44" s="1219">
        <v>71.275097895000002</v>
      </c>
      <c r="AH44" s="1218">
        <v>2834825</v>
      </c>
      <c r="AI44" s="1219">
        <v>564.63960246700003</v>
      </c>
      <c r="AJ44" s="1218">
        <v>160747</v>
      </c>
      <c r="AK44" s="1219">
        <v>53.809612289499995</v>
      </c>
      <c r="AL44" s="1218">
        <v>39346016</v>
      </c>
      <c r="AM44" s="1219">
        <v>37803.655711216496</v>
      </c>
      <c r="AN44" s="1218">
        <v>426533</v>
      </c>
      <c r="AO44" s="1219">
        <v>266.42395943799994</v>
      </c>
      <c r="AP44" s="1218">
        <v>163885</v>
      </c>
      <c r="AQ44" s="1219">
        <v>89.349575676000015</v>
      </c>
      <c r="AR44" s="1218">
        <v>41901</v>
      </c>
      <c r="AS44" s="1219">
        <v>57.824030000000008</v>
      </c>
      <c r="AT44" s="1218">
        <v>98881</v>
      </c>
      <c r="AU44" s="1219">
        <v>117.88135295199999</v>
      </c>
      <c r="AV44" s="1218">
        <v>125115</v>
      </c>
      <c r="AW44" s="1219">
        <v>94.468138274000012</v>
      </c>
      <c r="AX44" s="1218" t="s">
        <v>577</v>
      </c>
      <c r="AY44" s="1218">
        <v>265897</v>
      </c>
      <c r="AZ44" s="1219">
        <v>270.17352122599999</v>
      </c>
      <c r="BA44" s="1248">
        <v>44558528</v>
      </c>
      <c r="BB44" s="1219">
        <v>41021.232420619002</v>
      </c>
      <c r="BC44" s="1218">
        <v>2294491</v>
      </c>
      <c r="BD44" s="1218">
        <v>33156910</v>
      </c>
      <c r="BE44" s="1218">
        <v>4590842</v>
      </c>
      <c r="BF44" s="1218">
        <f t="shared" si="13"/>
        <v>40042243</v>
      </c>
      <c r="BG44" s="1218">
        <v>7632300</v>
      </c>
      <c r="BH44" s="1218">
        <v>8414924</v>
      </c>
      <c r="BI44" s="1219">
        <v>52099.672853853001</v>
      </c>
      <c r="BJ44" s="1218">
        <v>1618988</v>
      </c>
      <c r="BK44" s="1218">
        <v>512290724</v>
      </c>
      <c r="BL44" s="1219">
        <v>109555.147981909</v>
      </c>
      <c r="BM44" s="1218">
        <v>212420476</v>
      </c>
      <c r="BN44" s="1218">
        <v>15671</v>
      </c>
      <c r="BO44" s="1218">
        <v>13226342</v>
      </c>
      <c r="BP44" s="1219">
        <v>68125.248690278997</v>
      </c>
      <c r="BQ44" s="1218">
        <v>20449522</v>
      </c>
      <c r="BR44" s="1218">
        <v>13732</v>
      </c>
      <c r="BS44" s="1218">
        <v>106225</v>
      </c>
      <c r="BT44" s="1349"/>
      <c r="BU44" s="1453"/>
    </row>
    <row r="45" spans="1:73" s="190" customFormat="1" ht="11.85" customHeight="1">
      <c r="A45" s="1216" t="s">
        <v>571</v>
      </c>
      <c r="B45" s="1216">
        <v>1581755</v>
      </c>
      <c r="C45" s="1217">
        <v>180115.63721498</v>
      </c>
      <c r="D45" s="1216">
        <v>9596</v>
      </c>
      <c r="E45" s="1217">
        <v>281.27739935699998</v>
      </c>
      <c r="F45" s="1256">
        <f t="shared" si="12"/>
        <v>1591351</v>
      </c>
      <c r="G45" s="1217">
        <f t="shared" si="12"/>
        <v>180396.914614337</v>
      </c>
      <c r="H45" s="1216">
        <v>10869818</v>
      </c>
      <c r="I45" s="1217">
        <v>55598.038399805999</v>
      </c>
      <c r="J45" s="1216">
        <v>325547</v>
      </c>
      <c r="K45" s="1217">
        <v>281.951245992</v>
      </c>
      <c r="L45" s="1216">
        <v>11415</v>
      </c>
      <c r="M45" s="1217">
        <v>20.100492159999998</v>
      </c>
      <c r="N45" s="1216">
        <v>2407950</v>
      </c>
      <c r="O45" s="1217">
        <v>1328.8220753640001</v>
      </c>
      <c r="P45" s="1216">
        <v>287593</v>
      </c>
      <c r="Q45" s="1217">
        <v>244.25554785900005</v>
      </c>
      <c r="R45" s="1216">
        <v>1125802</v>
      </c>
      <c r="S45" s="1217">
        <v>579.66387659600002</v>
      </c>
      <c r="T45" s="1216">
        <v>198388</v>
      </c>
      <c r="U45" s="1217">
        <v>108.49269728999998</v>
      </c>
      <c r="V45" s="1216">
        <v>4356695</v>
      </c>
      <c r="W45" s="1217">
        <v>2563.2859352610003</v>
      </c>
      <c r="X45" s="1217">
        <v>9211.3310051279968</v>
      </c>
      <c r="Y45" s="1216" t="s">
        <v>571</v>
      </c>
      <c r="Z45" s="1216">
        <v>32888976</v>
      </c>
      <c r="AA45" s="1217">
        <v>34983.290902247005</v>
      </c>
      <c r="AB45" s="1216">
        <v>39413</v>
      </c>
      <c r="AC45" s="1217">
        <v>90.005993062999977</v>
      </c>
      <c r="AD45" s="1216">
        <v>2660788</v>
      </c>
      <c r="AE45" s="1217">
        <v>998.68039978499996</v>
      </c>
      <c r="AF45" s="1216">
        <v>122915</v>
      </c>
      <c r="AG45" s="1217">
        <v>75.896604322999991</v>
      </c>
      <c r="AH45" s="1216">
        <v>2838836</v>
      </c>
      <c r="AI45" s="1217">
        <v>549.59056211899997</v>
      </c>
      <c r="AJ45" s="1216">
        <v>179319</v>
      </c>
      <c r="AK45" s="1217">
        <v>62.044389264499998</v>
      </c>
      <c r="AL45" s="1216">
        <v>38730247</v>
      </c>
      <c r="AM45" s="1217">
        <v>36759.508850801503</v>
      </c>
      <c r="AN45" s="1216">
        <v>436819</v>
      </c>
      <c r="AO45" s="1217">
        <v>269.36636807000002</v>
      </c>
      <c r="AP45" s="1216">
        <v>168387</v>
      </c>
      <c r="AQ45" s="1217">
        <v>88.584469685499997</v>
      </c>
      <c r="AR45" s="1216">
        <v>40749</v>
      </c>
      <c r="AS45" s="1217">
        <v>54.01079</v>
      </c>
      <c r="AT45" s="1216">
        <v>103024</v>
      </c>
      <c r="AU45" s="1217">
        <v>128.39668516099999</v>
      </c>
      <c r="AV45" s="1216">
        <v>120845</v>
      </c>
      <c r="AW45" s="1217">
        <v>80.167801056000002</v>
      </c>
      <c r="AX45" s="1556" t="s">
        <v>571</v>
      </c>
      <c r="AY45" s="1216">
        <v>264618</v>
      </c>
      <c r="AZ45" s="1217">
        <v>262.57527621700001</v>
      </c>
      <c r="BA45" s="1256">
        <v>43956766</v>
      </c>
      <c r="BB45" s="1217">
        <v>39943.320900035011</v>
      </c>
      <c r="BC45" s="1216">
        <v>2316132</v>
      </c>
      <c r="BD45" s="1216">
        <v>33598824</v>
      </c>
      <c r="BE45" s="1216">
        <v>4736851</v>
      </c>
      <c r="BF45" s="1216">
        <f t="shared" si="13"/>
        <v>40651807</v>
      </c>
      <c r="BG45" s="1216">
        <v>7788896</v>
      </c>
      <c r="BH45" s="1216">
        <v>8234472</v>
      </c>
      <c r="BI45" s="1217">
        <v>48716.377547828</v>
      </c>
      <c r="BJ45" s="1216">
        <v>1629716</v>
      </c>
      <c r="BK45" s="1216">
        <v>497412883</v>
      </c>
      <c r="BL45" s="1217">
        <v>108378.227160043</v>
      </c>
      <c r="BM45" s="1216">
        <v>215041746</v>
      </c>
      <c r="BN45" s="1216">
        <v>15539</v>
      </c>
      <c r="BO45" s="1216">
        <v>12032552</v>
      </c>
      <c r="BP45" s="1217">
        <v>59312.866945061003</v>
      </c>
      <c r="BQ45" s="1216">
        <v>20683628</v>
      </c>
      <c r="BR45" s="1216">
        <v>13623</v>
      </c>
      <c r="BS45" s="1216">
        <v>106451</v>
      </c>
      <c r="BT45" s="1349"/>
      <c r="BU45" s="1453"/>
    </row>
    <row r="46" spans="1:73" s="190" customFormat="1" ht="11.85" customHeight="1">
      <c r="A46" s="1218" t="s">
        <v>578</v>
      </c>
      <c r="B46" s="1218">
        <v>1847520</v>
      </c>
      <c r="C46" s="1219">
        <v>214885.96555261899</v>
      </c>
      <c r="D46" s="1218">
        <v>9402</v>
      </c>
      <c r="E46" s="1219">
        <v>282.74721766800002</v>
      </c>
      <c r="F46" s="1248">
        <v>1856922</v>
      </c>
      <c r="G46" s="1219">
        <f t="shared" si="12"/>
        <v>215168.71277028698</v>
      </c>
      <c r="H46" s="1218">
        <v>27380116</v>
      </c>
      <c r="I46" s="1219">
        <v>71929.487599486005</v>
      </c>
      <c r="J46" s="1218">
        <v>358561</v>
      </c>
      <c r="K46" s="1219">
        <v>306.770765407</v>
      </c>
      <c r="L46" s="1218">
        <v>16059</v>
      </c>
      <c r="M46" s="1219">
        <v>28.974927018799999</v>
      </c>
      <c r="N46" s="1218">
        <v>2574948</v>
      </c>
      <c r="O46" s="1219">
        <v>1463.528894065</v>
      </c>
      <c r="P46" s="1218">
        <v>348068</v>
      </c>
      <c r="Q46" s="1219">
        <v>301.24410659699998</v>
      </c>
      <c r="R46" s="1218">
        <v>1260773</v>
      </c>
      <c r="S46" s="1219">
        <v>654.03405320399997</v>
      </c>
      <c r="T46" s="1218">
        <v>224945</v>
      </c>
      <c r="U46" s="1219">
        <v>111.1088772956</v>
      </c>
      <c r="V46" s="1218">
        <v>4783354</v>
      </c>
      <c r="W46" s="1219">
        <v>2865.6616235873998</v>
      </c>
      <c r="X46" s="1219">
        <v>9497.3123796359996</v>
      </c>
      <c r="Y46" s="1218" t="s">
        <v>578</v>
      </c>
      <c r="Z46" s="1218">
        <v>35482731</v>
      </c>
      <c r="AA46" s="1219">
        <v>37616.300498520002</v>
      </c>
      <c r="AB46" s="1218">
        <v>52217</v>
      </c>
      <c r="AC46" s="1219">
        <v>128.21989595599999</v>
      </c>
      <c r="AD46" s="1218">
        <v>2810261</v>
      </c>
      <c r="AE46" s="1219">
        <v>1075.0802064239999</v>
      </c>
      <c r="AF46" s="1218">
        <v>144565</v>
      </c>
      <c r="AG46" s="1219">
        <v>88.777513888000001</v>
      </c>
      <c r="AH46" s="1218">
        <v>3120589</v>
      </c>
      <c r="AI46" s="1219">
        <v>608.34554821899997</v>
      </c>
      <c r="AJ46" s="1218">
        <v>199976</v>
      </c>
      <c r="AK46" s="1219">
        <v>58.964967934000001</v>
      </c>
      <c r="AL46" s="1218">
        <v>41810339</v>
      </c>
      <c r="AM46" s="1219">
        <v>39575.688630940997</v>
      </c>
      <c r="AN46" s="1218">
        <v>469293</v>
      </c>
      <c r="AO46" s="1219">
        <v>285.63369172699998</v>
      </c>
      <c r="AP46" s="1218">
        <v>198418</v>
      </c>
      <c r="AQ46" s="1219">
        <v>94.760536032000005</v>
      </c>
      <c r="AR46" s="1218">
        <v>42986</v>
      </c>
      <c r="AS46" s="1219">
        <v>58.276240000000001</v>
      </c>
      <c r="AT46" s="1218">
        <v>102905</v>
      </c>
      <c r="AU46" s="1219">
        <v>134.49906232199999</v>
      </c>
      <c r="AV46" s="1218">
        <v>126044</v>
      </c>
      <c r="AW46" s="1219">
        <v>84.087330874000003</v>
      </c>
      <c r="AX46" s="1218" t="s">
        <v>578</v>
      </c>
      <c r="AY46" s="1218">
        <v>271935</v>
      </c>
      <c r="AZ46" s="1219">
        <v>276.86263319599999</v>
      </c>
      <c r="BA46" s="1248">
        <v>47533339</v>
      </c>
      <c r="BB46" s="1219">
        <v>43098.607115483399</v>
      </c>
      <c r="BC46" s="1218">
        <v>2337580</v>
      </c>
      <c r="BD46" s="1218">
        <v>34001815</v>
      </c>
      <c r="BE46" s="1218">
        <v>4904421</v>
      </c>
      <c r="BF46" s="1218">
        <f t="shared" si="13"/>
        <v>41243816</v>
      </c>
      <c r="BG46" s="1218">
        <v>7980859</v>
      </c>
      <c r="BH46" s="1218">
        <v>10337750</v>
      </c>
      <c r="BI46" s="1219">
        <v>78863.083189718003</v>
      </c>
      <c r="BJ46" s="1218">
        <v>1678207</v>
      </c>
      <c r="BK46" s="1218">
        <v>573271299</v>
      </c>
      <c r="BL46" s="1219">
        <v>120596.465772636</v>
      </c>
      <c r="BM46" s="1218">
        <v>217710830</v>
      </c>
      <c r="BN46" s="1218">
        <v>15542</v>
      </c>
      <c r="BO46" s="1218">
        <v>16089259</v>
      </c>
      <c r="BP46" s="1219">
        <v>70459.860334437995</v>
      </c>
      <c r="BQ46" s="1218">
        <v>20931465</v>
      </c>
      <c r="BR46" s="1218">
        <v>13655</v>
      </c>
      <c r="BS46" s="1218">
        <v>107035</v>
      </c>
      <c r="BT46" s="1349"/>
      <c r="BU46" s="1453"/>
    </row>
    <row r="47" spans="1:73" s="190" customFormat="1" ht="11.85" customHeight="1">
      <c r="A47" s="1216" t="s">
        <v>579</v>
      </c>
      <c r="B47" s="1216">
        <v>1850445</v>
      </c>
      <c r="C47" s="1217">
        <v>205727.014980882</v>
      </c>
      <c r="D47" s="1216">
        <v>8494</v>
      </c>
      <c r="E47" s="1217">
        <v>225.05943243499999</v>
      </c>
      <c r="F47" s="1216">
        <f t="shared" ref="F47" si="14">B47+D47</f>
        <v>1858939</v>
      </c>
      <c r="G47" s="1217">
        <f t="shared" ref="G47" si="15">C47+E47</f>
        <v>205952.07441331699</v>
      </c>
      <c r="H47" s="1216">
        <v>16245938</v>
      </c>
      <c r="I47" s="1217">
        <v>72689.365954292007</v>
      </c>
      <c r="J47" s="1216">
        <v>349173</v>
      </c>
      <c r="K47" s="1217">
        <v>302.96941623200001</v>
      </c>
      <c r="L47" s="1216">
        <v>14453</v>
      </c>
      <c r="M47" s="1217">
        <v>26.999779919000002</v>
      </c>
      <c r="N47" s="1216">
        <v>2412776</v>
      </c>
      <c r="O47" s="1217">
        <v>1372.9109652919999</v>
      </c>
      <c r="P47" s="1216">
        <v>296342</v>
      </c>
      <c r="Q47" s="1217">
        <v>265.35799295800001</v>
      </c>
      <c r="R47" s="1216">
        <v>1238701</v>
      </c>
      <c r="S47" s="1217">
        <v>653.36042484899997</v>
      </c>
      <c r="T47" s="1216">
        <v>222825</v>
      </c>
      <c r="U47" s="1217">
        <v>127.2146839823</v>
      </c>
      <c r="V47" s="1216">
        <v>4534270</v>
      </c>
      <c r="W47" s="1217">
        <v>2748.8132632323</v>
      </c>
      <c r="X47" s="1217">
        <v>9586.1225684849996</v>
      </c>
      <c r="Y47" s="1216" t="s">
        <v>579</v>
      </c>
      <c r="Z47" s="1216">
        <v>34459563</v>
      </c>
      <c r="AA47" s="1217">
        <v>37386.725317053999</v>
      </c>
      <c r="AB47" s="1216">
        <v>47422</v>
      </c>
      <c r="AC47" s="1217">
        <v>121.79554095100001</v>
      </c>
      <c r="AD47" s="1216">
        <v>2616668</v>
      </c>
      <c r="AE47" s="1217">
        <v>962.43418754499999</v>
      </c>
      <c r="AF47" s="1216">
        <v>136586</v>
      </c>
      <c r="AG47" s="1217">
        <v>91.284506813500002</v>
      </c>
      <c r="AH47" s="1216">
        <v>3232987</v>
      </c>
      <c r="AI47" s="1217">
        <v>623.22273326300001</v>
      </c>
      <c r="AJ47" s="1216">
        <v>213293</v>
      </c>
      <c r="AK47" s="1217">
        <v>68.339254069000006</v>
      </c>
      <c r="AL47" s="1216">
        <v>40706519</v>
      </c>
      <c r="AM47" s="1217">
        <v>39253.801539695502</v>
      </c>
      <c r="AN47" s="1216">
        <v>480023</v>
      </c>
      <c r="AO47" s="1217">
        <v>289.01881718300001</v>
      </c>
      <c r="AP47" s="1216">
        <v>209288</v>
      </c>
      <c r="AQ47" s="1217">
        <v>97.039955438999996</v>
      </c>
      <c r="AR47" s="1216">
        <v>41063</v>
      </c>
      <c r="AS47" s="1217">
        <v>55.590339999999998</v>
      </c>
      <c r="AT47" s="1216">
        <v>107430</v>
      </c>
      <c r="AU47" s="1217">
        <v>113.925147262</v>
      </c>
      <c r="AV47" s="1216">
        <v>115832</v>
      </c>
      <c r="AW47" s="1217">
        <v>79.812545610000001</v>
      </c>
      <c r="AX47" s="1216" t="s">
        <v>579</v>
      </c>
      <c r="AY47" s="1216">
        <v>264325</v>
      </c>
      <c r="AZ47" s="1217">
        <v>249.32803287199999</v>
      </c>
      <c r="BA47" s="1256">
        <v>46194425</v>
      </c>
      <c r="BB47" s="1217">
        <v>42638.0016084218</v>
      </c>
      <c r="BC47" s="1216">
        <v>2367620</v>
      </c>
      <c r="BD47" s="1216">
        <v>34331261</v>
      </c>
      <c r="BE47" s="1216">
        <v>4997524</v>
      </c>
      <c r="BF47" s="1216">
        <f t="shared" si="13"/>
        <v>41696405</v>
      </c>
      <c r="BG47" s="1216">
        <v>8172648</v>
      </c>
      <c r="BH47" s="1216">
        <v>9747240</v>
      </c>
      <c r="BI47" s="1217">
        <v>82866.226303652002</v>
      </c>
      <c r="BJ47" s="1216">
        <v>1701943</v>
      </c>
      <c r="BK47" s="1216">
        <v>542074508</v>
      </c>
      <c r="BL47" s="1217">
        <v>119669.18965844699</v>
      </c>
      <c r="BM47" s="1216">
        <v>220086186</v>
      </c>
      <c r="BN47" s="1216">
        <v>15581</v>
      </c>
      <c r="BO47" s="1216">
        <v>14580631</v>
      </c>
      <c r="BP47" s="1217">
        <v>70444.378387324003</v>
      </c>
      <c r="BQ47" s="1216">
        <v>21195205</v>
      </c>
      <c r="BR47" s="1216">
        <v>13437</v>
      </c>
      <c r="BS47" s="1216">
        <v>107144</v>
      </c>
      <c r="BT47" s="1349"/>
      <c r="BU47" s="1453"/>
    </row>
    <row r="48" spans="1:73" s="190" customFormat="1" ht="11.85" customHeight="1" thickBot="1">
      <c r="A48" s="1801" t="s">
        <v>572</v>
      </c>
      <c r="B48" s="1801">
        <v>1655043</v>
      </c>
      <c r="C48" s="1802">
        <v>182738.56533114699</v>
      </c>
      <c r="D48" s="1801">
        <v>9754</v>
      </c>
      <c r="E48" s="1802">
        <v>313.77793898099998</v>
      </c>
      <c r="F48" s="1803">
        <f t="shared" ref="F48" si="16">B48+D48</f>
        <v>1664797</v>
      </c>
      <c r="G48" s="1802">
        <f t="shared" ref="G48" si="17">C48+E48</f>
        <v>183052.34327012798</v>
      </c>
      <c r="H48" s="1801">
        <v>16780017</v>
      </c>
      <c r="I48" s="1802">
        <v>68182.869789613993</v>
      </c>
      <c r="J48" s="1801">
        <v>358058</v>
      </c>
      <c r="K48" s="1802">
        <v>314.48887471900002</v>
      </c>
      <c r="L48" s="1801">
        <v>17271</v>
      </c>
      <c r="M48" s="1802">
        <v>33.746116625299997</v>
      </c>
      <c r="N48" s="1801">
        <v>2582874</v>
      </c>
      <c r="O48" s="1802">
        <v>1467.3255885809999</v>
      </c>
      <c r="P48" s="1801">
        <v>349172</v>
      </c>
      <c r="Q48" s="1802">
        <v>319.63655331349997</v>
      </c>
      <c r="R48" s="1801">
        <v>1205621</v>
      </c>
      <c r="S48" s="1802">
        <v>661.00001046700004</v>
      </c>
      <c r="T48" s="1801">
        <v>202619</v>
      </c>
      <c r="U48" s="1802">
        <v>120.7122621515</v>
      </c>
      <c r="V48" s="1801">
        <v>4715615</v>
      </c>
      <c r="W48" s="1802">
        <v>2916.9094058573</v>
      </c>
      <c r="X48" s="1802">
        <v>9884.867291519</v>
      </c>
      <c r="Y48" s="1801" t="s">
        <v>572</v>
      </c>
      <c r="Z48" s="1801">
        <v>36270911</v>
      </c>
      <c r="AA48" s="1802">
        <v>39801.38472029</v>
      </c>
      <c r="AB48" s="1801">
        <v>55311</v>
      </c>
      <c r="AC48" s="1802">
        <v>152.74570868800001</v>
      </c>
      <c r="AD48" s="1801">
        <v>2766966</v>
      </c>
      <c r="AE48" s="1802">
        <v>1056.9825483469999</v>
      </c>
      <c r="AF48" s="1801">
        <v>137640</v>
      </c>
      <c r="AG48" s="1802">
        <v>105.593556206</v>
      </c>
      <c r="AH48" s="1801">
        <v>2945278</v>
      </c>
      <c r="AI48" s="1802">
        <v>560.52229142900001</v>
      </c>
      <c r="AJ48" s="1801">
        <v>214155</v>
      </c>
      <c r="AK48" s="1802">
        <v>74.789194832500002</v>
      </c>
      <c r="AL48" s="1801">
        <v>42390261</v>
      </c>
      <c r="AM48" s="1802">
        <v>41752.0180197925</v>
      </c>
      <c r="AN48" s="1801">
        <v>447143</v>
      </c>
      <c r="AO48" s="1802">
        <v>289.17183307599998</v>
      </c>
      <c r="AP48" s="1801">
        <v>222079</v>
      </c>
      <c r="AQ48" s="1802">
        <v>122.10576920600001</v>
      </c>
      <c r="AR48" s="1801">
        <v>37424</v>
      </c>
      <c r="AS48" s="1802">
        <v>68.211197920000004</v>
      </c>
      <c r="AT48" s="1801">
        <v>120421</v>
      </c>
      <c r="AU48" s="1802">
        <v>116.025734196</v>
      </c>
      <c r="AV48" s="1801">
        <v>132328</v>
      </c>
      <c r="AW48" s="1802">
        <v>87.591291662000003</v>
      </c>
      <c r="AX48" s="1801" t="s">
        <v>572</v>
      </c>
      <c r="AY48" s="1801">
        <v>290173</v>
      </c>
      <c r="AZ48" s="1802">
        <v>271.82822377799999</v>
      </c>
      <c r="BA48" s="1803">
        <v>48065271</v>
      </c>
      <c r="BB48" s="1802">
        <v>45352.0332517098</v>
      </c>
      <c r="BC48" s="1801">
        <v>2398577</v>
      </c>
      <c r="BD48" s="1801">
        <v>34569683</v>
      </c>
      <c r="BE48" s="1801">
        <v>5120934</v>
      </c>
      <c r="BF48" s="1801">
        <f t="shared" si="13"/>
        <v>42089194</v>
      </c>
      <c r="BG48" s="1801">
        <v>8331730</v>
      </c>
      <c r="BH48" s="1801">
        <v>9855726</v>
      </c>
      <c r="BI48" s="1802">
        <v>81640.235815248001</v>
      </c>
      <c r="BJ48" s="1801">
        <v>1724515</v>
      </c>
      <c r="BK48" s="1801">
        <v>550908856</v>
      </c>
      <c r="BL48" s="1802">
        <v>124548.463896698</v>
      </c>
      <c r="BM48" s="1801">
        <v>220457448</v>
      </c>
      <c r="BN48" s="1801">
        <v>15757</v>
      </c>
      <c r="BO48" s="1801">
        <v>13976607</v>
      </c>
      <c r="BP48" s="1802">
        <v>67225.719058249</v>
      </c>
      <c r="BQ48" s="1801">
        <v>21418816</v>
      </c>
      <c r="BR48" s="1801">
        <v>13436</v>
      </c>
      <c r="BS48" s="1801">
        <v>108469</v>
      </c>
      <c r="BT48" s="1349"/>
      <c r="BU48" s="1453"/>
    </row>
    <row r="49" spans="1:110">
      <c r="A49" s="1421" t="s">
        <v>2389</v>
      </c>
      <c r="B49" s="1421"/>
      <c r="C49" s="1421"/>
      <c r="D49" s="1421"/>
      <c r="E49" s="1421"/>
      <c r="F49" s="1421"/>
      <c r="G49" s="1421"/>
      <c r="H49" s="1421"/>
      <c r="I49" s="1421"/>
      <c r="J49" s="1220"/>
      <c r="K49" s="1220"/>
      <c r="L49" s="33" t="s">
        <v>2379</v>
      </c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Y49" s="247"/>
      <c r="BJ49" s="33" t="s">
        <v>2576</v>
      </c>
      <c r="BK49" s="1353"/>
      <c r="BL49" s="1353"/>
      <c r="BM49" s="1353"/>
      <c r="BN49" s="1353"/>
      <c r="BO49" s="1353"/>
      <c r="BP49" s="1250"/>
      <c r="BQ49" s="33"/>
      <c r="BU49" s="1453"/>
      <c r="BV49" s="190"/>
    </row>
    <row r="50" spans="1:110">
      <c r="A50" s="1421" t="s">
        <v>2390</v>
      </c>
      <c r="B50" s="1421"/>
      <c r="C50" s="1421"/>
      <c r="D50" s="1421"/>
      <c r="E50" s="1421"/>
      <c r="F50" s="1423"/>
      <c r="G50" s="1423"/>
      <c r="H50" s="1423"/>
      <c r="I50" s="1423"/>
      <c r="J50" s="814"/>
      <c r="L50" s="12" t="s">
        <v>2388</v>
      </c>
      <c r="M50" s="33"/>
      <c r="N50" s="33"/>
      <c r="O50" s="33"/>
      <c r="P50" s="33"/>
      <c r="Q50" s="33"/>
      <c r="AA50" s="1249"/>
      <c r="AE50" s="1249"/>
      <c r="AI50" s="1249"/>
      <c r="AY50" s="1561"/>
      <c r="BA50" s="1"/>
      <c r="BC50" s="1348"/>
      <c r="BD50" s="1277"/>
      <c r="BE50" s="1400"/>
      <c r="BF50" s="1"/>
      <c r="BG50" s="1277"/>
      <c r="BH50" s="1277"/>
      <c r="BI50" s="1276"/>
      <c r="BJ50" s="1429"/>
      <c r="BK50" s="1260"/>
      <c r="BL50" s="1276"/>
      <c r="BM50" s="1429"/>
      <c r="BN50" s="1430"/>
      <c r="BO50" s="1429"/>
      <c r="BP50" s="1276"/>
      <c r="BQ50" s="1276"/>
      <c r="BS50" s="1429"/>
      <c r="BT50" s="1249"/>
      <c r="BU50" s="1453"/>
      <c r="BV50" s="190"/>
    </row>
    <row r="51" spans="1:110">
      <c r="A51" s="1422" t="s">
        <v>2380</v>
      </c>
      <c r="B51" s="1422"/>
      <c r="C51" s="1422"/>
      <c r="D51" s="1420"/>
      <c r="E51" s="1420"/>
      <c r="F51" s="1420"/>
      <c r="G51" s="1428"/>
      <c r="H51" s="1260"/>
      <c r="I51" s="1250"/>
      <c r="J51" s="1431"/>
      <c r="K51" s="1324"/>
      <c r="S51" s="1249"/>
      <c r="AA51" s="1249"/>
      <c r="AC51" s="1249"/>
      <c r="AE51" s="1249"/>
      <c r="AI51" s="1249"/>
      <c r="AJ51" s="1249"/>
      <c r="BB51" s="1277"/>
      <c r="BC51" s="1348"/>
      <c r="BD51" s="1277"/>
      <c r="BE51" s="1400"/>
      <c r="BF51" s="1"/>
      <c r="BG51" s="1277"/>
      <c r="BH51" s="1277"/>
      <c r="BI51" s="1276"/>
      <c r="BJ51" s="1429"/>
      <c r="BK51" s="1260"/>
      <c r="BL51" s="1276"/>
      <c r="BM51" s="1429"/>
      <c r="BN51" s="1430"/>
      <c r="BO51" s="1276"/>
      <c r="BP51" s="1277"/>
      <c r="BQ51" s="1276"/>
      <c r="BR51" s="1249"/>
      <c r="BS51" s="1429"/>
      <c r="BT51" s="1249"/>
      <c r="BU51" s="1453"/>
      <c r="BV51" s="190"/>
    </row>
    <row r="52" spans="1:110">
      <c r="A52" s="1419"/>
      <c r="B52" s="1330"/>
      <c r="C52" s="1324"/>
      <c r="D52" s="1324"/>
      <c r="E52" s="1220"/>
      <c r="F52" s="1324"/>
      <c r="G52" s="1324"/>
      <c r="H52" s="1324"/>
      <c r="I52" s="1250"/>
      <c r="J52" s="1249"/>
      <c r="K52" s="1324"/>
      <c r="L52" s="1220"/>
      <c r="M52" s="1220"/>
      <c r="N52" s="1220"/>
      <c r="O52" s="1324"/>
      <c r="P52" s="1220"/>
      <c r="Q52" s="247"/>
      <c r="R52" s="247"/>
      <c r="S52" s="1249"/>
      <c r="T52" s="247"/>
      <c r="U52" s="247"/>
      <c r="V52" s="247"/>
      <c r="W52" s="247"/>
      <c r="X52" s="247"/>
      <c r="Y52" s="247"/>
      <c r="Z52" s="247"/>
      <c r="AA52" s="1249"/>
      <c r="AB52" s="247"/>
      <c r="AC52" s="1249"/>
      <c r="AD52" s="247"/>
      <c r="AE52" s="1249"/>
      <c r="AF52" s="247"/>
      <c r="AG52" s="247"/>
      <c r="AH52" s="247"/>
      <c r="AI52" s="1249"/>
      <c r="AJ52" s="1249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  <c r="AY52" s="247"/>
      <c r="AZ52" s="247"/>
      <c r="BB52" s="1277"/>
      <c r="BC52" s="1456"/>
      <c r="BD52" s="1436"/>
      <c r="BE52" s="1400"/>
      <c r="BF52" s="1"/>
      <c r="BG52" s="1277"/>
      <c r="BH52" s="1277"/>
      <c r="BI52" s="1276"/>
      <c r="BJ52" s="1429"/>
      <c r="BK52" s="1260"/>
      <c r="BL52" s="1276"/>
      <c r="BM52" s="1429"/>
      <c r="BN52" s="1430"/>
      <c r="BO52" s="1276"/>
      <c r="BP52" s="1276"/>
      <c r="BQ52" s="1276"/>
      <c r="BR52" s="1249"/>
      <c r="BS52" s="1429"/>
      <c r="BT52" s="1249"/>
      <c r="BU52" s="1453"/>
      <c r="BV52" s="190"/>
    </row>
    <row r="53" spans="1:110">
      <c r="A53" s="1436"/>
      <c r="B53" s="1431"/>
      <c r="C53" s="1431"/>
      <c r="D53" s="1431"/>
      <c r="E53" s="1431"/>
      <c r="F53" s="1431"/>
      <c r="G53" s="1431"/>
      <c r="H53" s="1706"/>
      <c r="I53" s="1706"/>
      <c r="J53" s="1431"/>
      <c r="K53" s="1324"/>
      <c r="L53" s="1431"/>
      <c r="M53" s="1431"/>
      <c r="N53" s="1431"/>
      <c r="O53" s="1324"/>
      <c r="P53" s="1431"/>
      <c r="Q53" s="1431"/>
      <c r="R53" s="1431"/>
      <c r="S53" s="1249"/>
      <c r="T53" s="1431"/>
      <c r="U53" s="1431"/>
      <c r="V53" s="1431"/>
      <c r="W53" s="1431"/>
      <c r="X53" s="1431"/>
      <c r="Y53" s="1431"/>
      <c r="Z53" s="1431"/>
      <c r="AA53" s="1431"/>
      <c r="AB53" s="1431"/>
      <c r="AC53" s="1249"/>
      <c r="AD53" s="1431"/>
      <c r="AE53" s="1249"/>
      <c r="AF53" s="1431"/>
      <c r="AG53" s="1431"/>
      <c r="AH53" s="1431"/>
      <c r="AI53" s="1249"/>
      <c r="AJ53" s="1249"/>
      <c r="AK53" s="1431"/>
      <c r="AL53" s="1431"/>
      <c r="AM53" s="1431"/>
      <c r="AN53" s="1431"/>
      <c r="AO53" s="1431"/>
      <c r="AP53" s="1431"/>
      <c r="AQ53" s="1431"/>
      <c r="AR53" s="1431"/>
      <c r="AS53" s="1431"/>
      <c r="AT53" s="1431"/>
      <c r="AU53" s="1431"/>
      <c r="AV53" s="1431"/>
      <c r="AW53" s="1431"/>
      <c r="AX53" s="1431"/>
      <c r="AY53" s="1431"/>
      <c r="AZ53" s="1431"/>
      <c r="BA53" s="1431"/>
      <c r="BB53" s="1431"/>
      <c r="BC53" s="1431"/>
      <c r="BD53" s="1431"/>
      <c r="BE53" s="1431"/>
      <c r="BF53" s="1"/>
      <c r="BG53" s="1431"/>
      <c r="BH53" s="1431"/>
      <c r="BI53" s="1431"/>
      <c r="BJ53" s="1431"/>
      <c r="BK53" s="1431"/>
      <c r="BL53" s="1431"/>
      <c r="BM53" s="1431"/>
      <c r="BN53" s="1431"/>
      <c r="BO53" s="1431"/>
      <c r="BP53" s="1431"/>
      <c r="BQ53" s="1276"/>
      <c r="BR53" s="1249"/>
      <c r="BS53" s="1431"/>
      <c r="BT53" s="1249"/>
      <c r="BU53" s="1453"/>
      <c r="BV53" s="190"/>
    </row>
    <row r="54" spans="1:110">
      <c r="A54" s="1436"/>
      <c r="B54" s="1431"/>
      <c r="C54" s="1431"/>
      <c r="D54" s="1431"/>
      <c r="E54" s="1431"/>
      <c r="F54" s="1431"/>
      <c r="G54" s="1431"/>
      <c r="H54" s="1706"/>
      <c r="I54" s="1706"/>
      <c r="J54" s="1431"/>
      <c r="K54" s="1324"/>
      <c r="L54" s="1431"/>
      <c r="M54" s="1431"/>
      <c r="N54" s="1431"/>
      <c r="O54" s="1324"/>
      <c r="P54" s="1431"/>
      <c r="Q54" s="1431"/>
      <c r="R54" s="1431"/>
      <c r="S54" s="1431"/>
      <c r="T54" s="1431"/>
      <c r="U54" s="1431"/>
      <c r="V54" s="1431"/>
      <c r="W54" s="1431"/>
      <c r="X54" s="1431"/>
      <c r="Y54" s="1431"/>
      <c r="Z54" s="1431"/>
      <c r="AA54" s="1431"/>
      <c r="AB54" s="1431"/>
      <c r="AC54" s="1431"/>
      <c r="AD54" s="1431"/>
      <c r="AE54" s="1431"/>
      <c r="AF54" s="1431"/>
      <c r="AG54" s="1431"/>
      <c r="AH54" s="1431"/>
      <c r="AI54" s="1431"/>
      <c r="AJ54" s="1431"/>
      <c r="AK54" s="1431"/>
      <c r="AL54" s="1431"/>
      <c r="AM54" s="1431"/>
      <c r="AN54" s="1431"/>
      <c r="AO54" s="1431"/>
      <c r="AP54" s="1431"/>
      <c r="AQ54" s="1431"/>
      <c r="AR54" s="1431"/>
      <c r="AS54" s="1431"/>
      <c r="AT54" s="1431"/>
      <c r="AU54" s="1431"/>
      <c r="AV54" s="1431"/>
      <c r="AW54" s="1431"/>
      <c r="AX54" s="1431"/>
      <c r="AY54" s="1431"/>
      <c r="AZ54" s="1431"/>
      <c r="BA54" s="1431"/>
      <c r="BB54" s="1431"/>
      <c r="BC54" s="1431"/>
      <c r="BD54" s="1431"/>
      <c r="BE54" s="1431"/>
      <c r="BF54" s="1"/>
      <c r="BG54" s="1431"/>
      <c r="BH54" s="1431"/>
      <c r="BI54" s="1431"/>
      <c r="BJ54" s="1431"/>
      <c r="BK54" s="1431"/>
      <c r="BL54" s="1431"/>
      <c r="BM54" s="1431"/>
      <c r="BN54" s="1431"/>
      <c r="BO54" s="1431"/>
      <c r="BP54" s="1431"/>
      <c r="BQ54" s="1276"/>
      <c r="BR54" s="1249"/>
      <c r="BS54" s="1431"/>
      <c r="BT54" s="1249"/>
      <c r="BU54" s="1453"/>
      <c r="BV54" s="190"/>
    </row>
    <row r="55" spans="1:110">
      <c r="B55" s="1277"/>
      <c r="C55" s="1431"/>
      <c r="D55" s="1431"/>
      <c r="E55" s="1431"/>
      <c r="F55" s="1431"/>
      <c r="G55" s="1431"/>
      <c r="H55" s="496"/>
      <c r="I55" s="496"/>
      <c r="J55" s="1249"/>
      <c r="BC55" s="1348"/>
      <c r="BF55" s="1"/>
      <c r="BG55" s="1277"/>
      <c r="BI55" s="1249"/>
      <c r="BM55" s="1249"/>
      <c r="BO55" s="1249"/>
      <c r="BP55" s="1249"/>
      <c r="BR55" s="1249"/>
      <c r="BU55" s="1453"/>
      <c r="BV55" s="190"/>
    </row>
    <row r="56" spans="1:110">
      <c r="C56" s="1431"/>
      <c r="D56" s="1431"/>
      <c r="E56" s="1437"/>
      <c r="F56" s="1431"/>
      <c r="G56" s="1431"/>
      <c r="H56" s="1707"/>
      <c r="I56" s="1707"/>
      <c r="J56" s="1437"/>
      <c r="K56" s="1400"/>
      <c r="L56" s="1400"/>
      <c r="M56" s="1400"/>
      <c r="N56" s="1400"/>
      <c r="O56" s="1400"/>
      <c r="P56" s="1400"/>
      <c r="Q56" s="1400"/>
      <c r="R56" s="1400"/>
      <c r="S56" s="1400"/>
      <c r="T56" s="1400"/>
      <c r="U56" s="1400"/>
      <c r="V56" s="1400"/>
      <c r="W56" s="1400"/>
      <c r="X56" s="1400"/>
      <c r="Y56" s="1400"/>
      <c r="Z56" s="1400"/>
      <c r="AA56" s="1400"/>
      <c r="AB56" s="1400"/>
      <c r="AC56" s="1400"/>
      <c r="AD56" s="1400"/>
      <c r="AE56" s="1400"/>
      <c r="AF56" s="1400"/>
      <c r="AG56" s="1400"/>
      <c r="AH56" s="1400"/>
      <c r="AI56" s="1400"/>
      <c r="AJ56" s="1400"/>
      <c r="AK56" s="1400"/>
      <c r="AL56" s="1400"/>
      <c r="AM56" s="1400"/>
      <c r="AN56" s="1400"/>
      <c r="AO56" s="1400"/>
      <c r="AP56" s="1400"/>
      <c r="AQ56" s="1400"/>
      <c r="AR56" s="1400"/>
      <c r="AS56" s="1400"/>
      <c r="BC56" s="1348"/>
      <c r="BF56" s="1"/>
      <c r="BG56" s="1277"/>
      <c r="BO56" s="1249"/>
      <c r="BP56" s="1249"/>
      <c r="BR56" s="1249"/>
      <c r="BU56" s="1453"/>
      <c r="BV56" s="190"/>
    </row>
    <row r="57" spans="1:110">
      <c r="C57" s="1431"/>
      <c r="D57" s="1437"/>
      <c r="E57" s="1437"/>
      <c r="F57" s="1437"/>
      <c r="G57" s="1438"/>
      <c r="H57" s="1400"/>
      <c r="I57" s="1437"/>
      <c r="J57" s="1437"/>
      <c r="K57" s="1400"/>
      <c r="L57" s="1400"/>
      <c r="M57" s="1400"/>
      <c r="N57" s="1400"/>
      <c r="O57" s="1400"/>
      <c r="P57" s="1400"/>
      <c r="Q57" s="1400"/>
      <c r="R57" s="1400"/>
      <c r="S57" s="1400"/>
      <c r="T57" s="1400"/>
      <c r="U57" s="1400"/>
      <c r="V57" s="1400"/>
      <c r="W57" s="1400"/>
      <c r="X57" s="1400"/>
      <c r="Y57" s="1400"/>
      <c r="Z57" s="1400"/>
      <c r="AA57" s="1400"/>
      <c r="AB57" s="1400"/>
      <c r="AC57" s="1400"/>
      <c r="AD57" s="1400"/>
      <c r="AE57" s="1400"/>
      <c r="AF57" s="1400"/>
      <c r="AG57" s="1400"/>
      <c r="AH57" s="1400"/>
      <c r="AI57" s="1400"/>
      <c r="AJ57" s="1400"/>
      <c r="AK57" s="1400"/>
      <c r="AL57" s="1400"/>
      <c r="AM57" s="1400"/>
      <c r="AN57" s="1400"/>
      <c r="AO57" s="1400"/>
      <c r="AP57" s="1400"/>
      <c r="AQ57" s="1400"/>
      <c r="AR57" s="1400"/>
      <c r="AS57" s="1400"/>
      <c r="BC57" s="1348"/>
      <c r="BF57" s="1"/>
      <c r="BG57" s="1277"/>
      <c r="BO57" s="1249"/>
      <c r="BR57" s="1249"/>
      <c r="BU57" s="1453"/>
      <c r="BV57" s="190"/>
    </row>
    <row r="58" spans="1:110">
      <c r="B58" s="1249"/>
      <c r="C58" s="1276"/>
      <c r="D58" s="1277"/>
      <c r="E58" s="1249"/>
      <c r="F58" s="1276"/>
      <c r="G58" s="1277"/>
      <c r="H58" s="1"/>
      <c r="I58" s="1250"/>
      <c r="J58" s="1249"/>
      <c r="BC58" s="1348"/>
      <c r="BF58" s="1"/>
      <c r="BG58" s="1277"/>
      <c r="BR58" s="1249"/>
      <c r="BU58" s="1453"/>
      <c r="BV58" s="190"/>
    </row>
    <row r="59" spans="1:110">
      <c r="B59" s="1249"/>
      <c r="C59" s="1276"/>
      <c r="D59" s="1276"/>
      <c r="E59" s="1276"/>
      <c r="F59" s="1276"/>
      <c r="G59" s="1276"/>
      <c r="H59" s="1276"/>
      <c r="I59" s="1276"/>
      <c r="J59" s="1276"/>
      <c r="K59" s="1276"/>
      <c r="L59" s="1276"/>
      <c r="M59" s="1276"/>
      <c r="N59" s="1276"/>
      <c r="O59" s="1276"/>
      <c r="P59" s="1276"/>
      <c r="Q59" s="1276"/>
      <c r="R59" s="1276"/>
      <c r="S59" s="1276"/>
      <c r="T59" s="1276"/>
      <c r="U59" s="1276"/>
      <c r="V59" s="1276"/>
      <c r="W59" s="1276"/>
      <c r="X59" s="1276"/>
      <c r="Y59" s="1276"/>
      <c r="Z59" s="1276"/>
      <c r="AA59" s="1276"/>
      <c r="AB59" s="1276"/>
      <c r="AC59" s="1276"/>
      <c r="AD59" s="1276"/>
      <c r="AE59" s="1276"/>
      <c r="AF59" s="1276"/>
      <c r="AG59" s="1276"/>
      <c r="AH59" s="1276"/>
      <c r="AI59" s="1276"/>
      <c r="AJ59" s="1276"/>
      <c r="AK59" s="1276"/>
      <c r="AL59" s="1276"/>
      <c r="AM59" s="1276"/>
      <c r="AN59" s="1276"/>
      <c r="AO59" s="1276"/>
      <c r="AP59" s="1276"/>
      <c r="AQ59" s="1276"/>
      <c r="AR59" s="1276"/>
      <c r="AS59" s="1276"/>
      <c r="BC59" s="1348"/>
      <c r="BF59" s="1"/>
      <c r="BG59" s="1277"/>
      <c r="BU59" s="1453"/>
      <c r="BV59" s="190"/>
    </row>
    <row r="60" spans="1:110">
      <c r="B60" s="1249"/>
      <c r="C60" s="1276"/>
      <c r="D60" s="1276"/>
      <c r="E60" s="1276"/>
      <c r="F60" s="1276"/>
      <c r="G60" s="1276"/>
      <c r="H60" s="1276"/>
      <c r="I60" s="1276"/>
      <c r="J60" s="1276"/>
      <c r="K60" s="1276"/>
      <c r="L60" s="1276"/>
      <c r="M60" s="1276"/>
      <c r="N60" s="1276"/>
      <c r="O60" s="1276"/>
      <c r="P60" s="1276"/>
      <c r="Q60" s="1276"/>
      <c r="R60" s="1276"/>
      <c r="S60" s="1276"/>
      <c r="T60" s="1276"/>
      <c r="U60" s="1276"/>
      <c r="V60" s="1276"/>
      <c r="W60" s="1276"/>
      <c r="X60" s="1276"/>
      <c r="Y60" s="1276"/>
      <c r="Z60" s="1276"/>
      <c r="AA60" s="1276"/>
      <c r="AB60" s="1276"/>
      <c r="AC60" s="1276"/>
      <c r="AD60" s="1276"/>
      <c r="AE60" s="1276"/>
      <c r="AF60" s="1276"/>
      <c r="AG60" s="1276"/>
      <c r="AH60" s="1276"/>
      <c r="AI60" s="1276"/>
      <c r="AJ60" s="1276"/>
      <c r="AK60" s="1276"/>
      <c r="AL60" s="1276"/>
      <c r="AM60" s="1276"/>
      <c r="AN60" s="1276"/>
      <c r="AO60" s="1276"/>
      <c r="AP60" s="1276"/>
      <c r="AQ60" s="1276"/>
      <c r="AR60" s="1276"/>
      <c r="AS60" s="1276"/>
      <c r="BC60" s="1348"/>
      <c r="BF60" s="1"/>
      <c r="BG60" s="1277"/>
      <c r="BU60" s="1453"/>
      <c r="BV60" s="190"/>
    </row>
    <row r="61" spans="1:110">
      <c r="C61" s="1277"/>
      <c r="D61" s="1277"/>
      <c r="F61" s="1277"/>
      <c r="G61" s="1277"/>
      <c r="H61" s="1"/>
      <c r="I61" s="1"/>
      <c r="BC61" s="1348"/>
      <c r="BF61" s="1"/>
      <c r="BG61" s="1277"/>
      <c r="BU61" s="1453"/>
      <c r="BV61" s="190"/>
    </row>
    <row r="62" spans="1:110">
      <c r="C62" s="1277"/>
      <c r="D62" s="1277"/>
      <c r="F62" s="1277"/>
      <c r="G62" s="1277"/>
      <c r="H62" s="1"/>
      <c r="I62" s="1"/>
      <c r="BF62" s="1"/>
      <c r="BG62" s="247"/>
      <c r="BU62" s="1453"/>
      <c r="BV62" s="190"/>
    </row>
    <row r="64" spans="1:110">
      <c r="BJ64" s="1277"/>
      <c r="BK64" s="1277"/>
      <c r="BL64" s="1277"/>
      <c r="BM64" s="1277"/>
      <c r="BN64" s="1277"/>
      <c r="BO64" s="1277"/>
      <c r="BP64" s="1277"/>
      <c r="BQ64" s="1277"/>
      <c r="BR64" s="1277"/>
      <c r="BS64" s="1277"/>
      <c r="BT64" s="1277"/>
      <c r="BU64" s="1277"/>
      <c r="BV64" s="1277"/>
      <c r="BW64" s="1277"/>
      <c r="BX64" s="1277"/>
      <c r="BY64" s="1277"/>
      <c r="BZ64" s="1277"/>
      <c r="CA64" s="1277"/>
      <c r="CB64" s="1277"/>
      <c r="CC64" s="1277"/>
      <c r="CD64" s="1277"/>
      <c r="CE64" s="1277"/>
      <c r="CF64" s="1277"/>
      <c r="CG64" s="1277"/>
      <c r="CH64" s="1277"/>
      <c r="CI64" s="1277"/>
      <c r="CJ64" s="1277"/>
      <c r="CK64" s="1277"/>
      <c r="CL64" s="1277"/>
      <c r="CM64" s="1277"/>
      <c r="CN64" s="1277"/>
      <c r="CO64" s="1277"/>
      <c r="CP64" s="1277"/>
      <c r="CQ64" s="1277"/>
      <c r="CR64" s="1277"/>
      <c r="CS64" s="1277"/>
      <c r="CT64" s="1277"/>
      <c r="CU64" s="1277"/>
      <c r="CV64" s="1277"/>
      <c r="CW64" s="1277"/>
      <c r="CX64" s="1277"/>
      <c r="CY64" s="1277"/>
      <c r="CZ64" s="1277"/>
      <c r="DA64" s="1277"/>
      <c r="DB64" s="1277"/>
      <c r="DC64" s="1277"/>
      <c r="DD64" s="1277"/>
      <c r="DE64" s="1277"/>
      <c r="DF64" s="1277"/>
    </row>
    <row r="67" spans="62:67">
      <c r="BJ67" s="1277"/>
      <c r="BK67" s="1277"/>
      <c r="BL67" s="1277"/>
      <c r="BM67" s="1277"/>
      <c r="BN67" s="1277"/>
      <c r="BO67" s="1277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3"/>
  <sheetViews>
    <sheetView zoomScale="160" zoomScaleNormal="160" workbookViewId="0">
      <pane xSplit="1" ySplit="5" topLeftCell="K40" activePane="bottomRight" state="frozen"/>
      <selection activeCell="F85" sqref="F85"/>
      <selection pane="topRight" activeCell="F85" sqref="F85"/>
      <selection pane="bottomLeft" activeCell="F85" sqref="F85"/>
      <selection pane="bottomRight" activeCell="U50" sqref="U50"/>
    </sheetView>
  </sheetViews>
  <sheetFormatPr defaultColWidth="9.140625" defaultRowHeight="11.25"/>
  <cols>
    <col min="1" max="1" width="10.28515625" style="1005" customWidth="1"/>
    <col min="2" max="2" width="10.85546875" style="1005" customWidth="1"/>
    <col min="3" max="3" width="11.140625" style="1005" customWidth="1"/>
    <col min="4" max="4" width="11" style="1005" customWidth="1"/>
    <col min="5" max="5" width="11.28515625" style="1005" customWidth="1"/>
    <col min="6" max="6" width="11" style="1005" customWidth="1"/>
    <col min="7" max="7" width="12.42578125" style="1005" customWidth="1"/>
    <col min="8" max="8" width="10.42578125" style="1005" customWidth="1"/>
    <col min="9" max="9" width="10.140625" style="1005" customWidth="1"/>
    <col min="10" max="10" width="10.7109375" style="1005" customWidth="1"/>
    <col min="11" max="11" width="11.85546875" style="1005" customWidth="1"/>
    <col min="12" max="12" width="10.5703125" style="1005" customWidth="1"/>
    <col min="13" max="13" width="9.85546875" style="1005" bestFit="1" customWidth="1"/>
    <col min="14" max="14" width="12.28515625" style="1005" customWidth="1"/>
    <col min="15" max="15" width="8.85546875" style="1005" customWidth="1"/>
    <col min="16" max="16" width="7.7109375" style="1005" customWidth="1"/>
    <col min="17" max="17" width="8.5703125" style="1005" customWidth="1"/>
    <col min="18" max="18" width="8.7109375" style="1005" customWidth="1"/>
    <col min="19" max="19" width="9.140625" style="1005"/>
    <col min="20" max="20" width="9.28515625" style="1005" customWidth="1"/>
    <col min="21" max="21" width="13.7109375" style="1005" customWidth="1"/>
    <col min="22" max="22" width="12.28515625" style="1005" customWidth="1"/>
    <col min="23" max="16384" width="9.140625" style="1005"/>
  </cols>
  <sheetData>
    <row r="1" spans="1:22" s="172" customFormat="1" ht="15" customHeight="1">
      <c r="A1" s="1505"/>
      <c r="B1" s="1505"/>
      <c r="C1" s="1505"/>
      <c r="D1" s="1505"/>
      <c r="E1" s="1505"/>
      <c r="F1" s="2155" t="s">
        <v>123</v>
      </c>
      <c r="G1" s="2155"/>
      <c r="H1" s="2154" t="s">
        <v>122</v>
      </c>
      <c r="I1" s="2154"/>
      <c r="J1" s="171"/>
      <c r="K1" s="171"/>
      <c r="L1" s="2155" t="s">
        <v>444</v>
      </c>
      <c r="M1" s="2155"/>
      <c r="N1" s="2155"/>
      <c r="O1" s="2158" t="s">
        <v>232</v>
      </c>
      <c r="P1" s="2158"/>
      <c r="Q1" s="2158"/>
      <c r="R1" s="2158"/>
      <c r="S1" s="2158"/>
      <c r="T1" s="2155" t="s">
        <v>445</v>
      </c>
      <c r="U1" s="2155"/>
      <c r="V1" s="2155"/>
    </row>
    <row r="2" spans="1:22" s="175" customFormat="1" ht="11.25" customHeight="1">
      <c r="A2" s="173"/>
      <c r="B2" s="173"/>
      <c r="C2" s="173"/>
      <c r="D2" s="174"/>
      <c r="F2" s="1116"/>
      <c r="H2" s="174"/>
      <c r="I2" s="174"/>
      <c r="J2" s="174"/>
      <c r="K2" s="174"/>
      <c r="L2" s="2156" t="s">
        <v>24</v>
      </c>
      <c r="M2" s="2156"/>
      <c r="N2" s="2156"/>
      <c r="O2" s="174"/>
      <c r="P2" s="174"/>
      <c r="Q2" s="176"/>
      <c r="R2" s="176"/>
      <c r="S2" s="176"/>
      <c r="T2" s="176"/>
      <c r="U2" s="2156" t="s">
        <v>24</v>
      </c>
      <c r="V2" s="2156"/>
    </row>
    <row r="3" spans="1:22" s="175" customFormat="1" ht="12.75" customHeight="1">
      <c r="A3" s="2148" t="s">
        <v>498</v>
      </c>
      <c r="B3" s="2160" t="s">
        <v>503</v>
      </c>
      <c r="C3" s="2161"/>
      <c r="D3" s="2162"/>
      <c r="E3" s="2159" t="s">
        <v>335</v>
      </c>
      <c r="F3" s="2159"/>
      <c r="G3" s="2159"/>
      <c r="H3" s="2159" t="s">
        <v>937</v>
      </c>
      <c r="I3" s="2159"/>
      <c r="J3" s="2159"/>
      <c r="K3" s="2157" t="s">
        <v>938</v>
      </c>
      <c r="L3" s="2157"/>
      <c r="M3" s="2157"/>
      <c r="N3" s="2166" t="s">
        <v>961</v>
      </c>
      <c r="O3" s="2151" t="s">
        <v>498</v>
      </c>
      <c r="P3" s="2168" t="s">
        <v>941</v>
      </c>
      <c r="Q3" s="2160" t="s">
        <v>940</v>
      </c>
      <c r="R3" s="2161"/>
      <c r="S3" s="2161"/>
      <c r="T3" s="2161"/>
      <c r="U3" s="2162"/>
      <c r="V3" s="2163" t="s">
        <v>1325</v>
      </c>
    </row>
    <row r="4" spans="1:22" s="177" customFormat="1" ht="29.25" customHeight="1">
      <c r="A4" s="2149"/>
      <c r="B4" s="1499" t="s">
        <v>958</v>
      </c>
      <c r="C4" s="1499" t="s">
        <v>959</v>
      </c>
      <c r="D4" s="1499" t="s">
        <v>960</v>
      </c>
      <c r="E4" s="1499" t="s">
        <v>504</v>
      </c>
      <c r="F4" s="1499" t="s">
        <v>505</v>
      </c>
      <c r="G4" s="1499" t="s">
        <v>651</v>
      </c>
      <c r="H4" s="1499" t="s">
        <v>504</v>
      </c>
      <c r="I4" s="1499" t="s">
        <v>505</v>
      </c>
      <c r="J4" s="1499" t="s">
        <v>652</v>
      </c>
      <c r="K4" s="1499" t="s">
        <v>506</v>
      </c>
      <c r="L4" s="1499" t="s">
        <v>495</v>
      </c>
      <c r="M4" s="1499" t="s">
        <v>656</v>
      </c>
      <c r="N4" s="2167"/>
      <c r="O4" s="2152"/>
      <c r="P4" s="2169"/>
      <c r="Q4" s="1503" t="s">
        <v>942</v>
      </c>
      <c r="R4" s="1503" t="s">
        <v>794</v>
      </c>
      <c r="S4" s="1503" t="s">
        <v>795</v>
      </c>
      <c r="T4" s="1503" t="s">
        <v>796</v>
      </c>
      <c r="U4" s="1503" t="s">
        <v>658</v>
      </c>
      <c r="V4" s="2164"/>
    </row>
    <row r="5" spans="1:22" s="229" customFormat="1" ht="17.25" customHeight="1">
      <c r="A5" s="2150"/>
      <c r="B5" s="354">
        <v>1</v>
      </c>
      <c r="C5" s="354">
        <v>2</v>
      </c>
      <c r="D5" s="354" t="s">
        <v>655</v>
      </c>
      <c r="E5" s="354">
        <v>4</v>
      </c>
      <c r="F5" s="354">
        <v>5</v>
      </c>
      <c r="G5" s="354" t="s">
        <v>654</v>
      </c>
      <c r="H5" s="354">
        <v>7</v>
      </c>
      <c r="I5" s="354">
        <v>8</v>
      </c>
      <c r="J5" s="354" t="s">
        <v>653</v>
      </c>
      <c r="K5" s="354">
        <v>10</v>
      </c>
      <c r="L5" s="354">
        <v>11</v>
      </c>
      <c r="M5" s="354" t="s">
        <v>657</v>
      </c>
      <c r="N5" s="354" t="s">
        <v>231</v>
      </c>
      <c r="O5" s="2153"/>
      <c r="P5" s="1003">
        <v>14</v>
      </c>
      <c r="Q5" s="1003">
        <v>15</v>
      </c>
      <c r="R5" s="1003">
        <v>16</v>
      </c>
      <c r="S5" s="1003">
        <v>17</v>
      </c>
      <c r="T5" s="1003">
        <v>18</v>
      </c>
      <c r="U5" s="1004" t="s">
        <v>939</v>
      </c>
      <c r="V5" s="2165"/>
    </row>
    <row r="6" spans="1:22" s="195" customFormat="1" ht="11.45" customHeight="1">
      <c r="A6" s="956" t="s">
        <v>81</v>
      </c>
      <c r="B6" s="267">
        <v>112345.1</v>
      </c>
      <c r="C6" s="239">
        <v>147983</v>
      </c>
      <c r="D6" s="239">
        <v>-35637.9</v>
      </c>
      <c r="E6" s="267">
        <v>15453.4</v>
      </c>
      <c r="F6" s="267">
        <v>25710.799999999999</v>
      </c>
      <c r="G6" s="267">
        <v>-10257.400000000001</v>
      </c>
      <c r="H6" s="267">
        <v>551.70000000000005</v>
      </c>
      <c r="I6" s="239">
        <v>10566.400000000001</v>
      </c>
      <c r="J6" s="267">
        <v>-10014.700000000001</v>
      </c>
      <c r="K6" s="267">
        <v>864.8</v>
      </c>
      <c r="L6" s="267">
        <v>78001.299999999988</v>
      </c>
      <c r="M6" s="267">
        <v>78866.100000000006</v>
      </c>
      <c r="N6" s="238">
        <v>22956.1</v>
      </c>
      <c r="O6" s="956" t="s">
        <v>81</v>
      </c>
      <c r="P6" s="267">
        <v>3373.5999999999995</v>
      </c>
      <c r="Q6" s="267">
        <v>6316.4000000000005</v>
      </c>
      <c r="R6" s="267">
        <v>-2029.5</v>
      </c>
      <c r="S6" s="267">
        <v>-820.69999999999936</v>
      </c>
      <c r="T6" s="267">
        <v>-24814.3</v>
      </c>
      <c r="U6" s="238">
        <f t="shared" ref="U6" si="0">Q6+R6+S6+T6</f>
        <v>-21348.1</v>
      </c>
      <c r="V6" s="239">
        <f t="shared" ref="V6" si="1">-(N6+P6+U6)</f>
        <v>-4981.5999999999985</v>
      </c>
    </row>
    <row r="7" spans="1:22" s="196" customFormat="1" ht="11.45" customHeight="1">
      <c r="A7" s="957" t="s">
        <v>192</v>
      </c>
      <c r="B7" s="304">
        <v>164159.20000000001</v>
      </c>
      <c r="C7" s="304">
        <v>216341.09999999998</v>
      </c>
      <c r="D7" s="304">
        <v>-52181.899999999994</v>
      </c>
      <c r="E7" s="304">
        <v>18292.900000000001</v>
      </c>
      <c r="F7" s="304">
        <v>35500.6</v>
      </c>
      <c r="G7" s="304">
        <v>-17207.7</v>
      </c>
      <c r="H7" s="304">
        <v>871.7</v>
      </c>
      <c r="I7" s="304">
        <v>11267.1</v>
      </c>
      <c r="J7" s="304">
        <v>-10395.4</v>
      </c>
      <c r="K7" s="304">
        <v>1047.0999999999999</v>
      </c>
      <c r="L7" s="304">
        <v>84013.2</v>
      </c>
      <c r="M7" s="304">
        <v>85060.299999999988</v>
      </c>
      <c r="N7" s="304">
        <v>5275.3000000000011</v>
      </c>
      <c r="O7" s="957" t="s">
        <v>192</v>
      </c>
      <c r="P7" s="304">
        <v>4138.1000000000004</v>
      </c>
      <c r="Q7" s="304">
        <v>5585.6</v>
      </c>
      <c r="R7" s="304">
        <v>-6109.2000000000007</v>
      </c>
      <c r="S7" s="304">
        <v>-9589.7999999999993</v>
      </c>
      <c r="T7" s="304">
        <v>5351</v>
      </c>
      <c r="U7" s="304">
        <v>-4762.3999999999996</v>
      </c>
      <c r="V7" s="304">
        <v>-4651.0000000000018</v>
      </c>
    </row>
    <row r="8" spans="1:22" s="168" customFormat="1" ht="11.45" customHeight="1">
      <c r="A8" s="956" t="s">
        <v>757</v>
      </c>
      <c r="B8" s="239">
        <v>193375.5</v>
      </c>
      <c r="C8" s="239">
        <v>253042.2</v>
      </c>
      <c r="D8" s="239">
        <v>-59666.7</v>
      </c>
      <c r="E8" s="239">
        <v>19370.400000000001</v>
      </c>
      <c r="F8" s="239">
        <v>41880.299999999996</v>
      </c>
      <c r="G8" s="239">
        <v>-22509.899999999998</v>
      </c>
      <c r="H8" s="239">
        <v>1523.3000000000002</v>
      </c>
      <c r="I8" s="239">
        <v>13242.2</v>
      </c>
      <c r="J8" s="239">
        <v>-11718.9</v>
      </c>
      <c r="K8" s="239">
        <v>829.19999999999993</v>
      </c>
      <c r="L8" s="239">
        <v>101982.6</v>
      </c>
      <c r="M8" s="239">
        <v>102811.8</v>
      </c>
      <c r="N8" s="239">
        <v>8916.2999999999993</v>
      </c>
      <c r="O8" s="956" t="s">
        <v>757</v>
      </c>
      <c r="P8" s="239">
        <v>3678.5</v>
      </c>
      <c r="Q8" s="239">
        <v>9088.2000000000007</v>
      </c>
      <c r="R8" s="239">
        <v>4142.6000000000004</v>
      </c>
      <c r="S8" s="239">
        <v>-17391</v>
      </c>
      <c r="T8" s="239">
        <v>-2324.4999999999991</v>
      </c>
      <c r="U8" s="239">
        <v>-6484.699999999998</v>
      </c>
      <c r="V8" s="239">
        <v>-6110.1000000000022</v>
      </c>
    </row>
    <row r="9" spans="1:22" s="168" customFormat="1" ht="11.45" customHeight="1">
      <c r="A9" s="957" t="s">
        <v>1067</v>
      </c>
      <c r="B9" s="304">
        <v>211643</v>
      </c>
      <c r="C9" s="304">
        <v>272427.10000000003</v>
      </c>
      <c r="D9" s="304">
        <v>-60784.099999999991</v>
      </c>
      <c r="E9" s="304">
        <v>22601.1</v>
      </c>
      <c r="F9" s="304">
        <v>48387.100000000006</v>
      </c>
      <c r="G9" s="304">
        <v>-25786.000000000004</v>
      </c>
      <c r="H9" s="304">
        <v>965.00000000000011</v>
      </c>
      <c r="I9" s="304">
        <v>19441.600000000002</v>
      </c>
      <c r="J9" s="304">
        <v>-18476.600000000002</v>
      </c>
      <c r="K9" s="304">
        <v>516.6</v>
      </c>
      <c r="L9" s="304">
        <v>119520.40000000001</v>
      </c>
      <c r="M9" s="304">
        <v>120037</v>
      </c>
      <c r="N9" s="304">
        <v>14990.300000000003</v>
      </c>
      <c r="O9" s="957" t="s">
        <v>1067</v>
      </c>
      <c r="P9" s="304">
        <v>4690.7999999999993</v>
      </c>
      <c r="Q9" s="304">
        <v>-13776.300000000001</v>
      </c>
      <c r="R9" s="304">
        <v>742.90000000000009</v>
      </c>
      <c r="S9" s="304">
        <v>-15951.5</v>
      </c>
      <c r="T9" s="304">
        <v>41316</v>
      </c>
      <c r="U9" s="304">
        <v>12331.100000000002</v>
      </c>
      <c r="V9" s="304">
        <v>-7350.0000000000018</v>
      </c>
    </row>
    <row r="10" spans="1:22" s="168" customFormat="1" ht="11.45" customHeight="1">
      <c r="A10" s="956" t="s">
        <v>1051</v>
      </c>
      <c r="B10" s="239">
        <v>230946.3</v>
      </c>
      <c r="C10" s="239">
        <v>286835.69999999995</v>
      </c>
      <c r="D10" s="239">
        <v>-55889.4</v>
      </c>
      <c r="E10" s="239">
        <v>24212.899999999998</v>
      </c>
      <c r="F10" s="239">
        <v>56129.399999999994</v>
      </c>
      <c r="G10" s="239">
        <v>-31916.5</v>
      </c>
      <c r="H10" s="239">
        <v>1011.5000000000001</v>
      </c>
      <c r="I10" s="239">
        <v>21168.1</v>
      </c>
      <c r="J10" s="239">
        <v>-20156.599999999999</v>
      </c>
      <c r="K10" s="239">
        <v>615.20000000000005</v>
      </c>
      <c r="L10" s="239">
        <v>115425</v>
      </c>
      <c r="M10" s="239">
        <v>116040.2</v>
      </c>
      <c r="N10" s="239">
        <v>8077.7000000000044</v>
      </c>
      <c r="O10" s="956" t="s">
        <v>1051</v>
      </c>
      <c r="P10" s="239">
        <v>5009.5</v>
      </c>
      <c r="Q10" s="239">
        <v>-11562.9</v>
      </c>
      <c r="R10" s="239">
        <v>-3019.8999999999996</v>
      </c>
      <c r="S10" s="239">
        <v>-17019.400000000001</v>
      </c>
      <c r="T10" s="239">
        <v>45942.100000000006</v>
      </c>
      <c r="U10" s="239">
        <v>14339.899999999998</v>
      </c>
      <c r="V10" s="239">
        <v>1252.6999999999916</v>
      </c>
    </row>
    <row r="11" spans="1:22" s="168" customFormat="1" ht="11.45" customHeight="1">
      <c r="A11" s="957" t="s">
        <v>1105</v>
      </c>
      <c r="B11" s="304">
        <v>238483.7</v>
      </c>
      <c r="C11" s="304">
        <v>284654.7</v>
      </c>
      <c r="D11" s="304">
        <v>-46170.999999999993</v>
      </c>
      <c r="E11" s="304">
        <v>23956.9</v>
      </c>
      <c r="F11" s="304">
        <v>64556.600000000006</v>
      </c>
      <c r="G11" s="304">
        <v>-40599.699999999997</v>
      </c>
      <c r="H11" s="304">
        <v>582.6</v>
      </c>
      <c r="I11" s="304">
        <v>22769.799999999996</v>
      </c>
      <c r="J11" s="304">
        <v>-22187.200000000001</v>
      </c>
      <c r="K11" s="304">
        <v>594.6</v>
      </c>
      <c r="L11" s="304">
        <v>122888.8</v>
      </c>
      <c r="M11" s="304">
        <v>123483.4</v>
      </c>
      <c r="N11" s="304">
        <v>14525.500000000015</v>
      </c>
      <c r="O11" s="957" t="s">
        <v>1105</v>
      </c>
      <c r="P11" s="304">
        <v>4024.8999999999996</v>
      </c>
      <c r="Q11" s="304">
        <v>-14216.999999999998</v>
      </c>
      <c r="R11" s="304">
        <v>-4157.5</v>
      </c>
      <c r="S11" s="304">
        <v>-3579.9999999999991</v>
      </c>
      <c r="T11" s="304">
        <v>33041</v>
      </c>
      <c r="U11" s="304">
        <v>11086.5</v>
      </c>
      <c r="V11" s="304">
        <v>-7463.9000000000133</v>
      </c>
    </row>
    <row r="12" spans="1:22" s="168" customFormat="1" ht="11.45" customHeight="1">
      <c r="A12" s="956" t="s">
        <v>1231</v>
      </c>
      <c r="B12" s="239">
        <v>261822.6</v>
      </c>
      <c r="C12" s="239">
        <v>303951.89999999997</v>
      </c>
      <c r="D12" s="239">
        <v>-42129.299999999996</v>
      </c>
      <c r="E12" s="239">
        <v>27156.699999999997</v>
      </c>
      <c r="F12" s="239">
        <v>57509.7</v>
      </c>
      <c r="G12" s="239">
        <v>-30353</v>
      </c>
      <c r="H12" s="239">
        <v>1200.1000000000001</v>
      </c>
      <c r="I12" s="239">
        <v>20802</v>
      </c>
      <c r="J12" s="239">
        <v>-19601.899999999998</v>
      </c>
      <c r="K12" s="239">
        <v>532.1</v>
      </c>
      <c r="L12" s="239">
        <v>119572.5</v>
      </c>
      <c r="M12" s="239">
        <v>120104.59999999999</v>
      </c>
      <c r="N12" s="239">
        <v>28020.399999999994</v>
      </c>
      <c r="O12" s="956" t="s">
        <v>1231</v>
      </c>
      <c r="P12" s="239">
        <v>3748.4</v>
      </c>
      <c r="Q12" s="239">
        <v>-15496</v>
      </c>
      <c r="R12" s="239">
        <v>3977.3</v>
      </c>
      <c r="S12" s="239">
        <v>-13250.5</v>
      </c>
      <c r="T12" s="239">
        <v>42962.3</v>
      </c>
      <c r="U12" s="239">
        <v>18193.099999999999</v>
      </c>
      <c r="V12" s="239">
        <v>-13575.699999999997</v>
      </c>
    </row>
    <row r="13" spans="1:22" s="170" customFormat="1" ht="11.45" customHeight="1">
      <c r="A13" s="959" t="s">
        <v>1263</v>
      </c>
      <c r="B13" s="352">
        <v>269251.7</v>
      </c>
      <c r="C13" s="352">
        <v>334930</v>
      </c>
      <c r="D13" s="352">
        <v>-65678.300000000017</v>
      </c>
      <c r="E13" s="352">
        <v>28718.6</v>
      </c>
      <c r="F13" s="352">
        <v>64385.600000000006</v>
      </c>
      <c r="G13" s="352">
        <v>-35667.000000000007</v>
      </c>
      <c r="H13" s="352">
        <v>812.4</v>
      </c>
      <c r="I13" s="352">
        <v>21662.2</v>
      </c>
      <c r="J13" s="352">
        <v>-20849.8</v>
      </c>
      <c r="K13" s="352">
        <v>343.8</v>
      </c>
      <c r="L13" s="352">
        <v>105172.20000000001</v>
      </c>
      <c r="M13" s="352">
        <v>105516</v>
      </c>
      <c r="N13" s="352">
        <v>-16679.10000000002</v>
      </c>
      <c r="O13" s="959" t="s">
        <v>1263</v>
      </c>
      <c r="P13" s="352">
        <v>2486.3999999999996</v>
      </c>
      <c r="Q13" s="352">
        <v>-18863.099999999999</v>
      </c>
      <c r="R13" s="352">
        <v>-1288.7</v>
      </c>
      <c r="S13" s="352">
        <v>-27292</v>
      </c>
      <c r="T13" s="352">
        <v>26394.400000000001</v>
      </c>
      <c r="U13" s="352">
        <v>-21049.4</v>
      </c>
      <c r="V13" s="352">
        <v>-6856.6999999999807</v>
      </c>
    </row>
    <row r="14" spans="1:22" s="170" customFormat="1" ht="11.45" customHeight="1">
      <c r="A14" s="958" t="s">
        <v>1392</v>
      </c>
      <c r="B14" s="359">
        <f t="shared" ref="B14:N14" si="2">SUM(B15:B18)</f>
        <v>297456.2</v>
      </c>
      <c r="C14" s="359">
        <f t="shared" si="2"/>
        <v>447422.4</v>
      </c>
      <c r="D14" s="359">
        <f t="shared" si="2"/>
        <v>-149966.20000000001</v>
      </c>
      <c r="E14" s="359">
        <f t="shared" si="2"/>
        <v>37062.899999999994</v>
      </c>
      <c r="F14" s="359">
        <f t="shared" si="2"/>
        <v>76200.299999999988</v>
      </c>
      <c r="G14" s="359">
        <f t="shared" si="2"/>
        <v>-39137.399999999994</v>
      </c>
      <c r="H14" s="359">
        <f t="shared" si="2"/>
        <v>1035.0999999999999</v>
      </c>
      <c r="I14" s="359">
        <f t="shared" si="2"/>
        <v>18647.8</v>
      </c>
      <c r="J14" s="359">
        <f t="shared" si="2"/>
        <v>-17612.7</v>
      </c>
      <c r="K14" s="359">
        <f t="shared" si="2"/>
        <v>397.6</v>
      </c>
      <c r="L14" s="359">
        <f t="shared" si="2"/>
        <v>126970.9</v>
      </c>
      <c r="M14" s="359">
        <f t="shared" si="2"/>
        <v>127368.5</v>
      </c>
      <c r="N14" s="359">
        <f t="shared" si="2"/>
        <v>-79347.799999999988</v>
      </c>
      <c r="O14" s="958" t="s">
        <v>1392</v>
      </c>
      <c r="P14" s="359">
        <f t="shared" ref="P14:V14" si="3">SUM(P15:P18)</f>
        <v>2398.6999999999998</v>
      </c>
      <c r="Q14" s="359">
        <f t="shared" si="3"/>
        <v>-14874.099999999999</v>
      </c>
      <c r="R14" s="359">
        <f t="shared" si="3"/>
        <v>664.4</v>
      </c>
      <c r="S14" s="359">
        <f t="shared" si="3"/>
        <v>-59732.399999999994</v>
      </c>
      <c r="T14" s="359">
        <f t="shared" si="3"/>
        <v>-6402.3</v>
      </c>
      <c r="U14" s="359">
        <f t="shared" si="3"/>
        <v>-80344.399999999994</v>
      </c>
      <c r="V14" s="359">
        <f t="shared" si="3"/>
        <v>-3395.299999999992</v>
      </c>
    </row>
    <row r="15" spans="1:22" s="170" customFormat="1" ht="11.45" customHeight="1">
      <c r="A15" s="957" t="s">
        <v>1384</v>
      </c>
      <c r="B15" s="304">
        <v>68969.8</v>
      </c>
      <c r="C15" s="304">
        <v>98425.8</v>
      </c>
      <c r="D15" s="304">
        <f t="shared" ref="D15:D23" si="4">B15-C15</f>
        <v>-29456</v>
      </c>
      <c r="E15" s="304">
        <v>7797.9</v>
      </c>
      <c r="F15" s="304">
        <v>16636.8</v>
      </c>
      <c r="G15" s="304">
        <f t="shared" ref="G15:G23" si="5">E15-F15</f>
        <v>-8838.9</v>
      </c>
      <c r="H15" s="304">
        <v>224.6</v>
      </c>
      <c r="I15" s="304">
        <v>4263.6000000000004</v>
      </c>
      <c r="J15" s="304">
        <f t="shared" ref="J15:J23" si="6">H15-I15</f>
        <v>-4039.0000000000005</v>
      </c>
      <c r="K15" s="304">
        <v>97.2</v>
      </c>
      <c r="L15" s="304">
        <v>27772.400000000001</v>
      </c>
      <c r="M15" s="304">
        <f t="shared" ref="M15:M23" si="7">K15+L15</f>
        <v>27869.600000000002</v>
      </c>
      <c r="N15" s="303">
        <f t="shared" ref="N15:N23" si="8">D15+G15+J15+M15</f>
        <v>-14464.3</v>
      </c>
      <c r="O15" s="957" t="s">
        <v>1384</v>
      </c>
      <c r="P15" s="304">
        <v>519.29999999999995</v>
      </c>
      <c r="Q15" s="304">
        <v>-1710.9</v>
      </c>
      <c r="R15" s="304">
        <v>573.1</v>
      </c>
      <c r="S15" s="304">
        <v>-8333.2999999999993</v>
      </c>
      <c r="T15" s="304">
        <v>-6625</v>
      </c>
      <c r="U15" s="303">
        <f t="shared" ref="U15:U23" si="9">Q15+R15+S15+T15</f>
        <v>-16096.099999999999</v>
      </c>
      <c r="V15" s="304">
        <f t="shared" ref="V15:V23" si="10">-(N15+P15-U15)</f>
        <v>-2151.0999999999985</v>
      </c>
    </row>
    <row r="16" spans="1:22" s="170" customFormat="1" ht="11.45" customHeight="1">
      <c r="A16" s="956" t="s">
        <v>1381</v>
      </c>
      <c r="B16" s="239">
        <v>74553.600000000006</v>
      </c>
      <c r="C16" s="239">
        <v>115042.6</v>
      </c>
      <c r="D16" s="239">
        <f t="shared" si="4"/>
        <v>-40489</v>
      </c>
      <c r="E16" s="239">
        <v>8780.4</v>
      </c>
      <c r="F16" s="239">
        <v>18716.099999999999</v>
      </c>
      <c r="G16" s="239">
        <f t="shared" si="5"/>
        <v>-9935.6999999999989</v>
      </c>
      <c r="H16" s="239">
        <v>191.4</v>
      </c>
      <c r="I16" s="239">
        <v>5033.5</v>
      </c>
      <c r="J16" s="239">
        <f t="shared" si="6"/>
        <v>-4842.1000000000004</v>
      </c>
      <c r="K16" s="239">
        <v>219.1</v>
      </c>
      <c r="L16" s="239">
        <v>30119.4</v>
      </c>
      <c r="M16" s="239">
        <f t="shared" si="7"/>
        <v>30338.5</v>
      </c>
      <c r="N16" s="238">
        <f t="shared" si="8"/>
        <v>-24928.299999999996</v>
      </c>
      <c r="O16" s="956" t="s">
        <v>1381</v>
      </c>
      <c r="P16" s="239">
        <v>798.6</v>
      </c>
      <c r="Q16" s="239">
        <v>-4203.1000000000004</v>
      </c>
      <c r="R16" s="239">
        <v>-1450.2</v>
      </c>
      <c r="S16" s="239">
        <v>-16810.8</v>
      </c>
      <c r="T16" s="239">
        <v>3232.9</v>
      </c>
      <c r="U16" s="238">
        <f t="shared" si="9"/>
        <v>-19231.199999999997</v>
      </c>
      <c r="V16" s="239">
        <f t="shared" si="10"/>
        <v>4898.5</v>
      </c>
    </row>
    <row r="17" spans="1:22" s="170" customFormat="1" ht="11.45" customHeight="1">
      <c r="A17" s="957" t="s">
        <v>1382</v>
      </c>
      <c r="B17" s="304">
        <v>78019.399999999994</v>
      </c>
      <c r="C17" s="304">
        <v>115941.7</v>
      </c>
      <c r="D17" s="304">
        <f t="shared" si="4"/>
        <v>-37922.300000000003</v>
      </c>
      <c r="E17" s="304">
        <v>9475.9</v>
      </c>
      <c r="F17" s="304">
        <v>18471.3</v>
      </c>
      <c r="G17" s="304">
        <f t="shared" si="5"/>
        <v>-8995.4</v>
      </c>
      <c r="H17" s="304">
        <v>251.7</v>
      </c>
      <c r="I17" s="304">
        <v>4551.7</v>
      </c>
      <c r="J17" s="304">
        <f t="shared" si="6"/>
        <v>-4300</v>
      </c>
      <c r="K17" s="304">
        <v>41.7</v>
      </c>
      <c r="L17" s="304">
        <v>32444.2</v>
      </c>
      <c r="M17" s="304">
        <f t="shared" si="7"/>
        <v>32485.9</v>
      </c>
      <c r="N17" s="303">
        <f t="shared" si="8"/>
        <v>-18731.800000000003</v>
      </c>
      <c r="O17" s="957" t="s">
        <v>1382</v>
      </c>
      <c r="P17" s="304">
        <v>554.6</v>
      </c>
      <c r="Q17" s="304">
        <v>-3082.8</v>
      </c>
      <c r="R17" s="304">
        <v>451</v>
      </c>
      <c r="S17" s="304">
        <v>-8851.2999999999993</v>
      </c>
      <c r="T17" s="304">
        <v>-8321.9</v>
      </c>
      <c r="U17" s="303">
        <f t="shared" si="9"/>
        <v>-19805</v>
      </c>
      <c r="V17" s="304">
        <f t="shared" si="10"/>
        <v>-1627.7999999999956</v>
      </c>
    </row>
    <row r="18" spans="1:22" s="170" customFormat="1" ht="11.45" customHeight="1">
      <c r="A18" s="956" t="s">
        <v>1383</v>
      </c>
      <c r="B18" s="239">
        <v>75913.399999999994</v>
      </c>
      <c r="C18" s="239">
        <v>118012.3</v>
      </c>
      <c r="D18" s="239">
        <f t="shared" si="4"/>
        <v>-42098.900000000009</v>
      </c>
      <c r="E18" s="239">
        <v>11008.7</v>
      </c>
      <c r="F18" s="239">
        <v>22376.1</v>
      </c>
      <c r="G18" s="239">
        <f t="shared" si="5"/>
        <v>-11367.399999999998</v>
      </c>
      <c r="H18" s="239">
        <v>367.4</v>
      </c>
      <c r="I18" s="239">
        <v>4799</v>
      </c>
      <c r="J18" s="239">
        <f t="shared" si="6"/>
        <v>-4431.6000000000004</v>
      </c>
      <c r="K18" s="239">
        <v>39.6</v>
      </c>
      <c r="L18" s="239">
        <v>36634.9</v>
      </c>
      <c r="M18" s="239">
        <f t="shared" si="7"/>
        <v>36674.5</v>
      </c>
      <c r="N18" s="239">
        <f t="shared" si="8"/>
        <v>-21223.4</v>
      </c>
      <c r="O18" s="956" t="s">
        <v>1383</v>
      </c>
      <c r="P18" s="239">
        <v>526.20000000000005</v>
      </c>
      <c r="Q18" s="239">
        <v>-5877.3</v>
      </c>
      <c r="R18" s="239">
        <v>1090.5</v>
      </c>
      <c r="S18" s="239">
        <v>-25737</v>
      </c>
      <c r="T18" s="239">
        <v>5311.7</v>
      </c>
      <c r="U18" s="238">
        <f t="shared" si="9"/>
        <v>-25212.1</v>
      </c>
      <c r="V18" s="239">
        <f t="shared" si="10"/>
        <v>-4514.8999999999978</v>
      </c>
    </row>
    <row r="19" spans="1:22" s="170" customFormat="1" ht="11.45" customHeight="1">
      <c r="A19" s="959" t="s">
        <v>1511</v>
      </c>
      <c r="B19" s="954">
        <f t="shared" ref="B19:N19" si="11">SUM(B20:B23)</f>
        <v>335633.30000000005</v>
      </c>
      <c r="C19" s="954">
        <f t="shared" si="11"/>
        <v>465793.29999999993</v>
      </c>
      <c r="D19" s="955">
        <f t="shared" si="11"/>
        <v>-130160</v>
      </c>
      <c r="E19" s="955">
        <f t="shared" si="11"/>
        <v>50849.100000000006</v>
      </c>
      <c r="F19" s="955">
        <f t="shared" si="11"/>
        <v>79728</v>
      </c>
      <c r="G19" s="955">
        <f t="shared" si="11"/>
        <v>-28878.899999999994</v>
      </c>
      <c r="H19" s="955">
        <f t="shared" si="11"/>
        <v>3522.7999999999997</v>
      </c>
      <c r="I19" s="955">
        <f t="shared" si="11"/>
        <v>20633.8</v>
      </c>
      <c r="J19" s="955">
        <f t="shared" si="11"/>
        <v>-17111</v>
      </c>
      <c r="K19" s="955">
        <f t="shared" si="11"/>
        <v>195</v>
      </c>
      <c r="L19" s="955">
        <f t="shared" si="11"/>
        <v>142465.79999999999</v>
      </c>
      <c r="M19" s="955">
        <f t="shared" si="11"/>
        <v>142660.79999999999</v>
      </c>
      <c r="N19" s="955">
        <f t="shared" si="11"/>
        <v>-33489.099999999984</v>
      </c>
      <c r="O19" s="959" t="s">
        <v>1511</v>
      </c>
      <c r="P19" s="954">
        <f t="shared" ref="P19:V19" si="12">SUM(P20:P23)</f>
        <v>1955.5</v>
      </c>
      <c r="Q19" s="954">
        <f t="shared" si="12"/>
        <v>-22072.3</v>
      </c>
      <c r="R19" s="954">
        <f t="shared" si="12"/>
        <v>1609.1999999999998</v>
      </c>
      <c r="S19" s="954">
        <f t="shared" si="12"/>
        <v>-20294.7</v>
      </c>
      <c r="T19" s="954">
        <f t="shared" si="12"/>
        <v>-831.5</v>
      </c>
      <c r="U19" s="954">
        <f t="shared" si="12"/>
        <v>-41589.300000000003</v>
      </c>
      <c r="V19" s="954">
        <f t="shared" si="12"/>
        <v>-10055.700000000017</v>
      </c>
    </row>
    <row r="20" spans="1:22" s="170" customFormat="1" ht="11.45" customHeight="1">
      <c r="A20" s="956" t="s">
        <v>1384</v>
      </c>
      <c r="B20" s="239">
        <v>81626.899999999994</v>
      </c>
      <c r="C20" s="239">
        <v>113892.6</v>
      </c>
      <c r="D20" s="239">
        <f t="shared" si="4"/>
        <v>-32265.700000000012</v>
      </c>
      <c r="E20" s="239">
        <v>12108.4</v>
      </c>
      <c r="F20" s="239">
        <v>18476.599999999999</v>
      </c>
      <c r="G20" s="239">
        <f t="shared" si="5"/>
        <v>-6368.1999999999989</v>
      </c>
      <c r="H20" s="239">
        <v>308.89999999999998</v>
      </c>
      <c r="I20" s="239">
        <v>4783.1000000000004</v>
      </c>
      <c r="J20" s="239">
        <f t="shared" si="6"/>
        <v>-4474.2000000000007</v>
      </c>
      <c r="K20" s="239">
        <v>75.7</v>
      </c>
      <c r="L20" s="239">
        <v>33108.800000000003</v>
      </c>
      <c r="M20" s="239">
        <f t="shared" si="7"/>
        <v>33184.5</v>
      </c>
      <c r="N20" s="239">
        <f t="shared" si="8"/>
        <v>-9923.6000000000058</v>
      </c>
      <c r="O20" s="956" t="s">
        <v>1384</v>
      </c>
      <c r="P20" s="239">
        <v>370.5</v>
      </c>
      <c r="Q20" s="239">
        <v>-5019.8</v>
      </c>
      <c r="R20" s="239">
        <v>1079.5999999999999</v>
      </c>
      <c r="S20" s="239">
        <v>7321.5</v>
      </c>
      <c r="T20" s="239">
        <v>-7263.3</v>
      </c>
      <c r="U20" s="239">
        <f t="shared" si="9"/>
        <v>-3882.0000000000005</v>
      </c>
      <c r="V20" s="239">
        <f t="shared" si="10"/>
        <v>5671.1000000000058</v>
      </c>
    </row>
    <row r="21" spans="1:22" s="170" customFormat="1" ht="11.45" customHeight="1">
      <c r="A21" s="957" t="s">
        <v>1381</v>
      </c>
      <c r="B21" s="304">
        <v>87356.3</v>
      </c>
      <c r="C21" s="304">
        <v>119277.2</v>
      </c>
      <c r="D21" s="304">
        <f t="shared" si="4"/>
        <v>-31920.899999999994</v>
      </c>
      <c r="E21" s="304">
        <v>12886</v>
      </c>
      <c r="F21" s="304">
        <v>20968.599999999999</v>
      </c>
      <c r="G21" s="304">
        <f t="shared" si="5"/>
        <v>-8082.5999999999985</v>
      </c>
      <c r="H21" s="304">
        <v>2338.6999999999998</v>
      </c>
      <c r="I21" s="304">
        <v>3597.2</v>
      </c>
      <c r="J21" s="304">
        <f t="shared" si="6"/>
        <v>-1258.5</v>
      </c>
      <c r="K21" s="304">
        <v>56.8</v>
      </c>
      <c r="L21" s="304">
        <v>31942.799999999999</v>
      </c>
      <c r="M21" s="304">
        <f t="shared" si="7"/>
        <v>31999.599999999999</v>
      </c>
      <c r="N21" s="304">
        <f t="shared" si="8"/>
        <v>-9262.3999999999942</v>
      </c>
      <c r="O21" s="957" t="s">
        <v>1381</v>
      </c>
      <c r="P21" s="304">
        <v>753.9</v>
      </c>
      <c r="Q21" s="304">
        <v>-6088.9</v>
      </c>
      <c r="R21" s="304">
        <v>-2822.8</v>
      </c>
      <c r="S21" s="304">
        <v>-6719.7</v>
      </c>
      <c r="T21" s="304">
        <v>1157.3</v>
      </c>
      <c r="U21" s="304">
        <f t="shared" si="9"/>
        <v>-14474.100000000002</v>
      </c>
      <c r="V21" s="304">
        <f t="shared" si="10"/>
        <v>-5965.6000000000076</v>
      </c>
    </row>
    <row r="22" spans="1:22" s="170" customFormat="1" ht="11.45" customHeight="1">
      <c r="A22" s="956" t="s">
        <v>1382</v>
      </c>
      <c r="B22" s="239">
        <v>86382</v>
      </c>
      <c r="C22" s="239">
        <v>122256.9</v>
      </c>
      <c r="D22" s="239">
        <f t="shared" si="4"/>
        <v>-35874.899999999994</v>
      </c>
      <c r="E22" s="239">
        <v>12386.2</v>
      </c>
      <c r="F22" s="239">
        <v>19794.2</v>
      </c>
      <c r="G22" s="239">
        <f t="shared" si="5"/>
        <v>-7408</v>
      </c>
      <c r="H22" s="239">
        <v>400</v>
      </c>
      <c r="I22" s="239">
        <v>6293.6</v>
      </c>
      <c r="J22" s="239">
        <f t="shared" si="6"/>
        <v>-5893.6</v>
      </c>
      <c r="K22" s="239">
        <v>37.299999999999997</v>
      </c>
      <c r="L22" s="239">
        <v>37661.9</v>
      </c>
      <c r="M22" s="239">
        <f t="shared" si="7"/>
        <v>37699.200000000004</v>
      </c>
      <c r="N22" s="239">
        <f t="shared" si="8"/>
        <v>-11477.299999999988</v>
      </c>
      <c r="O22" s="956" t="s">
        <v>1382</v>
      </c>
      <c r="P22" s="239">
        <v>496.1</v>
      </c>
      <c r="Q22" s="239">
        <v>-7370</v>
      </c>
      <c r="R22" s="239">
        <v>2136.3000000000002</v>
      </c>
      <c r="S22" s="239">
        <v>-7373.4</v>
      </c>
      <c r="T22" s="239">
        <v>-4293.2</v>
      </c>
      <c r="U22" s="239">
        <f t="shared" si="9"/>
        <v>-16900.3</v>
      </c>
      <c r="V22" s="239">
        <f t="shared" si="10"/>
        <v>-5919.1000000000113</v>
      </c>
    </row>
    <row r="23" spans="1:22" s="170" customFormat="1" ht="11.45" customHeight="1">
      <c r="A23" s="957" t="s">
        <v>1383</v>
      </c>
      <c r="B23" s="304">
        <v>80268.100000000006</v>
      </c>
      <c r="C23" s="304">
        <v>110366.6</v>
      </c>
      <c r="D23" s="304">
        <f t="shared" si="4"/>
        <v>-30098.5</v>
      </c>
      <c r="E23" s="304">
        <v>13468.5</v>
      </c>
      <c r="F23" s="304">
        <v>20488.599999999999</v>
      </c>
      <c r="G23" s="304">
        <f t="shared" si="5"/>
        <v>-7020.0999999999985</v>
      </c>
      <c r="H23" s="304">
        <v>475.2</v>
      </c>
      <c r="I23" s="304">
        <v>5959.9</v>
      </c>
      <c r="J23" s="304">
        <f t="shared" si="6"/>
        <v>-5484.7</v>
      </c>
      <c r="K23" s="304">
        <v>25.2</v>
      </c>
      <c r="L23" s="304">
        <v>39752.300000000003</v>
      </c>
      <c r="M23" s="304">
        <f t="shared" si="7"/>
        <v>39777.5</v>
      </c>
      <c r="N23" s="304">
        <f t="shared" si="8"/>
        <v>-2825.7999999999956</v>
      </c>
      <c r="O23" s="957" t="s">
        <v>1383</v>
      </c>
      <c r="P23" s="304">
        <v>335</v>
      </c>
      <c r="Q23" s="304">
        <v>-3593.6</v>
      </c>
      <c r="R23" s="304">
        <v>1216.0999999999999</v>
      </c>
      <c r="S23" s="304">
        <v>-13523.1</v>
      </c>
      <c r="T23" s="304">
        <v>9567.7000000000007</v>
      </c>
      <c r="U23" s="304">
        <f t="shared" si="9"/>
        <v>-6332.9</v>
      </c>
      <c r="V23" s="304">
        <f t="shared" si="10"/>
        <v>-3842.100000000004</v>
      </c>
    </row>
    <row r="24" spans="1:22" s="170" customFormat="1" ht="11.45" customHeight="1">
      <c r="A24" s="958" t="s">
        <v>1602</v>
      </c>
      <c r="B24" s="987">
        <f t="shared" ref="B24:N24" si="13">SUM(B25:B28)</f>
        <v>280337.59999999998</v>
      </c>
      <c r="C24" s="1097">
        <f t="shared" si="13"/>
        <v>429749</v>
      </c>
      <c r="D24" s="987">
        <f t="shared" si="13"/>
        <v>-149411.4</v>
      </c>
      <c r="E24" s="987">
        <f t="shared" si="13"/>
        <v>50747.8</v>
      </c>
      <c r="F24" s="987">
        <f t="shared" si="13"/>
        <v>72093.8</v>
      </c>
      <c r="G24" s="1097">
        <f t="shared" si="13"/>
        <v>-21346</v>
      </c>
      <c r="H24" s="987">
        <f t="shared" si="13"/>
        <v>1853.9</v>
      </c>
      <c r="I24" s="1097">
        <f t="shared" si="13"/>
        <v>23355</v>
      </c>
      <c r="J24" s="987">
        <f t="shared" si="13"/>
        <v>-21501.1</v>
      </c>
      <c r="K24" s="987">
        <f t="shared" si="13"/>
        <v>163.69999999999999</v>
      </c>
      <c r="L24" s="987">
        <f t="shared" si="13"/>
        <v>158938.59999999998</v>
      </c>
      <c r="M24" s="987">
        <f t="shared" si="13"/>
        <v>159102.29999999999</v>
      </c>
      <c r="N24" s="987">
        <f t="shared" si="13"/>
        <v>-33156.19999999999</v>
      </c>
      <c r="O24" s="958" t="s">
        <v>1602</v>
      </c>
      <c r="P24" s="987">
        <f t="shared" ref="P24:V24" si="14">SUM(P25:P28)</f>
        <v>2174.1999999999998</v>
      </c>
      <c r="Q24" s="987">
        <f t="shared" si="14"/>
        <v>-10783.7</v>
      </c>
      <c r="R24" s="987">
        <f t="shared" si="14"/>
        <v>-124.90000000000002</v>
      </c>
      <c r="S24" s="987">
        <f t="shared" si="14"/>
        <v>-55974.5</v>
      </c>
      <c r="T24" s="987">
        <f t="shared" si="14"/>
        <v>27451.9</v>
      </c>
      <c r="U24" s="987">
        <f t="shared" si="14"/>
        <v>-39431.200000000004</v>
      </c>
      <c r="V24" s="987">
        <f t="shared" si="14"/>
        <v>-8449.2000000000135</v>
      </c>
    </row>
    <row r="25" spans="1:22" s="170" customFormat="1" ht="11.45" customHeight="1">
      <c r="A25" s="957" t="s">
        <v>1384</v>
      </c>
      <c r="B25" s="304">
        <v>80122.8</v>
      </c>
      <c r="C25" s="304">
        <v>112017.5</v>
      </c>
      <c r="D25" s="304">
        <f t="shared" ref="D25:D33" si="15">B25-C25</f>
        <v>-31894.699999999997</v>
      </c>
      <c r="E25" s="304">
        <v>12475.8</v>
      </c>
      <c r="F25" s="304">
        <v>19747.7</v>
      </c>
      <c r="G25" s="304">
        <f t="shared" ref="G25:G33" si="16">E25-F25</f>
        <v>-7271.9000000000015</v>
      </c>
      <c r="H25" s="304">
        <v>325.10000000000002</v>
      </c>
      <c r="I25" s="304">
        <v>5008.1000000000004</v>
      </c>
      <c r="J25" s="304">
        <f t="shared" ref="J25:J33" si="17">H25-I25</f>
        <v>-4683</v>
      </c>
      <c r="K25" s="304">
        <v>18.100000000000001</v>
      </c>
      <c r="L25" s="304">
        <v>38971</v>
      </c>
      <c r="M25" s="304">
        <f t="shared" ref="M25:M33" si="18">K25+L25</f>
        <v>38989.1</v>
      </c>
      <c r="N25" s="304">
        <f t="shared" ref="N25:N33" si="19">D25+G25+J25+M25</f>
        <v>-4860.5</v>
      </c>
      <c r="O25" s="957" t="s">
        <v>1384</v>
      </c>
      <c r="P25" s="304">
        <v>240.2</v>
      </c>
      <c r="Q25" s="304">
        <v>-1436.7</v>
      </c>
      <c r="R25" s="304">
        <v>-232.3</v>
      </c>
      <c r="S25" s="304">
        <v>3195.7</v>
      </c>
      <c r="T25" s="304">
        <v>-6543.7</v>
      </c>
      <c r="U25" s="304">
        <f t="shared" ref="U25:U33" si="20">Q25+R25+S25+T25</f>
        <v>-5017</v>
      </c>
      <c r="V25" s="304">
        <f t="shared" ref="V25:V40" si="21">-(N25+P25-U25)</f>
        <v>-396.69999999999982</v>
      </c>
    </row>
    <row r="26" spans="1:22" s="170" customFormat="1" ht="11.45" customHeight="1">
      <c r="A26" s="956" t="s">
        <v>1381</v>
      </c>
      <c r="B26" s="239">
        <v>80430.7</v>
      </c>
      <c r="C26" s="239">
        <v>117085.5</v>
      </c>
      <c r="D26" s="239">
        <f t="shared" si="15"/>
        <v>-36654.800000000003</v>
      </c>
      <c r="E26" s="239">
        <v>14153.6</v>
      </c>
      <c r="F26" s="239">
        <v>20691.2</v>
      </c>
      <c r="G26" s="239">
        <f t="shared" si="16"/>
        <v>-6537.6</v>
      </c>
      <c r="H26" s="239">
        <v>338.9</v>
      </c>
      <c r="I26" s="239">
        <v>5792.4</v>
      </c>
      <c r="J26" s="239">
        <f t="shared" si="17"/>
        <v>-5453.5</v>
      </c>
      <c r="K26" s="239">
        <v>64.400000000000006</v>
      </c>
      <c r="L26" s="239">
        <v>42870.7</v>
      </c>
      <c r="M26" s="239">
        <f t="shared" si="18"/>
        <v>42935.1</v>
      </c>
      <c r="N26" s="239">
        <f t="shared" si="19"/>
        <v>-5710.8000000000029</v>
      </c>
      <c r="O26" s="956" t="s">
        <v>1381</v>
      </c>
      <c r="P26" s="239">
        <v>855.6</v>
      </c>
      <c r="Q26" s="239">
        <v>-3499.8</v>
      </c>
      <c r="R26" s="239">
        <v>133.6</v>
      </c>
      <c r="S26" s="239">
        <v>-13884</v>
      </c>
      <c r="T26" s="239">
        <v>5713.4</v>
      </c>
      <c r="U26" s="239">
        <f t="shared" si="20"/>
        <v>-11536.800000000001</v>
      </c>
      <c r="V26" s="239">
        <f t="shared" si="21"/>
        <v>-6681.5999999999985</v>
      </c>
    </row>
    <row r="27" spans="1:22" s="170" customFormat="1" ht="11.45" customHeight="1">
      <c r="A27" s="957" t="s">
        <v>1382</v>
      </c>
      <c r="B27" s="304">
        <v>80628.5</v>
      </c>
      <c r="C27" s="304">
        <v>112645.4</v>
      </c>
      <c r="D27" s="304">
        <f t="shared" si="15"/>
        <v>-32016.899999999994</v>
      </c>
      <c r="E27" s="304">
        <v>13774.2</v>
      </c>
      <c r="F27" s="304">
        <v>19495.599999999999</v>
      </c>
      <c r="G27" s="304">
        <f t="shared" si="16"/>
        <v>-5721.3999999999978</v>
      </c>
      <c r="H27" s="304">
        <v>337.1</v>
      </c>
      <c r="I27" s="304">
        <v>7100.8</v>
      </c>
      <c r="J27" s="304">
        <f t="shared" si="17"/>
        <v>-6763.7</v>
      </c>
      <c r="K27" s="304">
        <v>22.9</v>
      </c>
      <c r="L27" s="304">
        <v>37934.6</v>
      </c>
      <c r="M27" s="304">
        <f t="shared" si="18"/>
        <v>37957.5</v>
      </c>
      <c r="N27" s="304">
        <f t="shared" si="19"/>
        <v>-6544.4999999999854</v>
      </c>
      <c r="O27" s="957" t="s">
        <v>1382</v>
      </c>
      <c r="P27" s="304">
        <v>303.7</v>
      </c>
      <c r="Q27" s="304">
        <v>-3798.6</v>
      </c>
      <c r="R27" s="304">
        <v>34.6</v>
      </c>
      <c r="S27" s="304">
        <v>-9743.7999999999993</v>
      </c>
      <c r="T27" s="304">
        <v>1881.7</v>
      </c>
      <c r="U27" s="304">
        <f t="shared" si="20"/>
        <v>-11626.099999999999</v>
      </c>
      <c r="V27" s="304">
        <f t="shared" si="21"/>
        <v>-5385.3000000000129</v>
      </c>
    </row>
    <row r="28" spans="1:22" s="170" customFormat="1" ht="11.45" customHeight="1">
      <c r="A28" s="956" t="s">
        <v>1383</v>
      </c>
      <c r="B28" s="239">
        <v>39155.599999999999</v>
      </c>
      <c r="C28" s="239">
        <v>88000.6</v>
      </c>
      <c r="D28" s="239">
        <f t="shared" si="15"/>
        <v>-48845.000000000007</v>
      </c>
      <c r="E28" s="239">
        <v>10344.200000000001</v>
      </c>
      <c r="F28" s="239">
        <v>12159.3</v>
      </c>
      <c r="G28" s="239">
        <f t="shared" si="16"/>
        <v>-1815.0999999999985</v>
      </c>
      <c r="H28" s="239">
        <v>852.8</v>
      </c>
      <c r="I28" s="239">
        <v>5453.7</v>
      </c>
      <c r="J28" s="239">
        <f t="shared" si="17"/>
        <v>-4600.8999999999996</v>
      </c>
      <c r="K28" s="239">
        <v>58.3</v>
      </c>
      <c r="L28" s="239">
        <v>39162.300000000003</v>
      </c>
      <c r="M28" s="239">
        <f t="shared" si="18"/>
        <v>39220.600000000006</v>
      </c>
      <c r="N28" s="239">
        <f t="shared" si="19"/>
        <v>-16040.400000000001</v>
      </c>
      <c r="O28" s="956" t="s">
        <v>1383</v>
      </c>
      <c r="P28" s="239">
        <v>774.7</v>
      </c>
      <c r="Q28" s="239">
        <v>-2048.6</v>
      </c>
      <c r="R28" s="239">
        <v>-60.8</v>
      </c>
      <c r="S28" s="239">
        <v>-35542.400000000001</v>
      </c>
      <c r="T28" s="239">
        <v>26400.5</v>
      </c>
      <c r="U28" s="239">
        <f t="shared" si="20"/>
        <v>-11251.300000000003</v>
      </c>
      <c r="V28" s="239">
        <f t="shared" si="21"/>
        <v>4014.3999999999978</v>
      </c>
    </row>
    <row r="29" spans="1:22" s="170" customFormat="1" ht="11.45" customHeight="1">
      <c r="A29" s="959" t="s">
        <v>1668</v>
      </c>
      <c r="B29" s="955">
        <f>SUM(B30:B33)</f>
        <v>312956.5</v>
      </c>
      <c r="C29" s="954">
        <f t="shared" ref="C29:N29" si="22">SUM(C30:C33)</f>
        <v>514608.8</v>
      </c>
      <c r="D29" s="955">
        <f t="shared" si="22"/>
        <v>-201652.3</v>
      </c>
      <c r="E29" s="955">
        <f t="shared" si="22"/>
        <v>63459.3</v>
      </c>
      <c r="F29" s="955">
        <f t="shared" si="22"/>
        <v>87684</v>
      </c>
      <c r="G29" s="955">
        <f t="shared" si="22"/>
        <v>-24224.699999999997</v>
      </c>
      <c r="H29" s="955">
        <f t="shared" si="22"/>
        <v>2059.5</v>
      </c>
      <c r="I29" s="955">
        <f t="shared" si="22"/>
        <v>24609.199999999997</v>
      </c>
      <c r="J29" s="955">
        <f t="shared" si="22"/>
        <v>-22549.7</v>
      </c>
      <c r="K29" s="955">
        <f t="shared" si="22"/>
        <v>278.10000000000002</v>
      </c>
      <c r="L29" s="955">
        <f t="shared" si="22"/>
        <v>214737</v>
      </c>
      <c r="M29" s="955">
        <f t="shared" si="22"/>
        <v>215015.1</v>
      </c>
      <c r="N29" s="955">
        <f t="shared" si="22"/>
        <v>-33411.599999999977</v>
      </c>
      <c r="O29" s="960" t="s">
        <v>1668</v>
      </c>
      <c r="P29" s="954">
        <f t="shared" ref="P29:V29" si="23">SUM(P30:P33)</f>
        <v>1872.6999999999998</v>
      </c>
      <c r="Q29" s="954">
        <f t="shared" si="23"/>
        <v>-11488.099999999999</v>
      </c>
      <c r="R29" s="954">
        <f t="shared" si="23"/>
        <v>2917.3</v>
      </c>
      <c r="S29" s="954">
        <f t="shared" si="23"/>
        <v>-107518.20000000001</v>
      </c>
      <c r="T29" s="954">
        <f t="shared" si="23"/>
        <v>84686.399999999994</v>
      </c>
      <c r="U29" s="954">
        <f t="shared" si="23"/>
        <v>-31402.6</v>
      </c>
      <c r="V29" s="954">
        <f t="shared" si="23"/>
        <v>136.29999999997744</v>
      </c>
    </row>
    <row r="30" spans="1:22" s="170" customFormat="1" ht="11.45" customHeight="1">
      <c r="A30" s="956" t="s">
        <v>1384</v>
      </c>
      <c r="B30" s="239">
        <v>80550.8</v>
      </c>
      <c r="C30" s="239">
        <v>99540.1</v>
      </c>
      <c r="D30" s="239">
        <f t="shared" si="15"/>
        <v>-18989.300000000003</v>
      </c>
      <c r="E30" s="239">
        <v>13721.9</v>
      </c>
      <c r="F30" s="239">
        <v>17991.400000000001</v>
      </c>
      <c r="G30" s="239">
        <f t="shared" si="16"/>
        <v>-4269.5000000000018</v>
      </c>
      <c r="H30" s="239">
        <v>331.1</v>
      </c>
      <c r="I30" s="239">
        <v>6015.3</v>
      </c>
      <c r="J30" s="239">
        <f t="shared" si="17"/>
        <v>-5684.2</v>
      </c>
      <c r="K30" s="239">
        <v>84.2</v>
      </c>
      <c r="L30" s="239">
        <v>57806.3</v>
      </c>
      <c r="M30" s="239">
        <f t="shared" si="18"/>
        <v>57890.5</v>
      </c>
      <c r="N30" s="239">
        <f t="shared" si="19"/>
        <v>28947.499999999996</v>
      </c>
      <c r="O30" s="956" t="s">
        <v>1384</v>
      </c>
      <c r="P30" s="239">
        <v>427</v>
      </c>
      <c r="Q30" s="239">
        <v>-1927.4</v>
      </c>
      <c r="R30" s="239">
        <v>1444.8</v>
      </c>
      <c r="S30" s="239">
        <v>1940.9</v>
      </c>
      <c r="T30" s="239">
        <v>25437.5</v>
      </c>
      <c r="U30" s="239">
        <f t="shared" si="20"/>
        <v>26895.8</v>
      </c>
      <c r="V30" s="239">
        <f t="shared" si="21"/>
        <v>-2478.6999999999971</v>
      </c>
    </row>
    <row r="31" spans="1:22" s="170" customFormat="1" ht="11.45" customHeight="1">
      <c r="A31" s="957" t="s">
        <v>1381</v>
      </c>
      <c r="B31" s="304">
        <v>75099.199999999997</v>
      </c>
      <c r="C31" s="304">
        <v>114396.9</v>
      </c>
      <c r="D31" s="304">
        <f t="shared" si="15"/>
        <v>-39297.699999999997</v>
      </c>
      <c r="E31" s="304">
        <v>16939.2</v>
      </c>
      <c r="F31" s="304">
        <v>21315.599999999999</v>
      </c>
      <c r="G31" s="304">
        <f t="shared" si="16"/>
        <v>-4376.3999999999978</v>
      </c>
      <c r="H31" s="304">
        <v>326.3</v>
      </c>
      <c r="I31" s="304">
        <v>7389.7</v>
      </c>
      <c r="J31" s="304">
        <f t="shared" si="17"/>
        <v>-7063.4</v>
      </c>
      <c r="K31" s="304">
        <v>80.7</v>
      </c>
      <c r="L31" s="304">
        <v>54379.8</v>
      </c>
      <c r="M31" s="304">
        <f t="shared" si="18"/>
        <v>54460.5</v>
      </c>
      <c r="N31" s="304">
        <f t="shared" si="19"/>
        <v>3723.0000000000073</v>
      </c>
      <c r="O31" s="957" t="s">
        <v>1381</v>
      </c>
      <c r="P31" s="304">
        <v>306.5</v>
      </c>
      <c r="Q31" s="304">
        <v>-5128.8999999999996</v>
      </c>
      <c r="R31" s="304">
        <v>193.8</v>
      </c>
      <c r="S31" s="304">
        <v>-24670.7</v>
      </c>
      <c r="T31" s="304">
        <v>30175.1</v>
      </c>
      <c r="U31" s="304">
        <f t="shared" si="20"/>
        <v>569.29999999999927</v>
      </c>
      <c r="V31" s="304">
        <f t="shared" si="21"/>
        <v>-3460.200000000008</v>
      </c>
    </row>
    <row r="32" spans="1:22" s="170" customFormat="1" ht="11.45" customHeight="1">
      <c r="A32" s="956" t="s">
        <v>1382</v>
      </c>
      <c r="B32" s="239">
        <v>77985.600000000006</v>
      </c>
      <c r="C32" s="239">
        <v>148745.5</v>
      </c>
      <c r="D32" s="239">
        <f t="shared" si="15"/>
        <v>-70759.899999999994</v>
      </c>
      <c r="E32" s="239">
        <v>15844</v>
      </c>
      <c r="F32" s="239">
        <v>23201</v>
      </c>
      <c r="G32" s="239">
        <f t="shared" si="16"/>
        <v>-7357</v>
      </c>
      <c r="H32" s="239">
        <v>653.70000000000005</v>
      </c>
      <c r="I32" s="239">
        <v>5000.6000000000004</v>
      </c>
      <c r="J32" s="239">
        <f t="shared" si="17"/>
        <v>-4346.9000000000005</v>
      </c>
      <c r="K32" s="239">
        <v>24.6</v>
      </c>
      <c r="L32" s="239">
        <v>48993.599999999999</v>
      </c>
      <c r="M32" s="239">
        <f t="shared" si="18"/>
        <v>49018.2</v>
      </c>
      <c r="N32" s="239">
        <f t="shared" si="19"/>
        <v>-33445.599999999991</v>
      </c>
      <c r="O32" s="956" t="s">
        <v>1382</v>
      </c>
      <c r="P32" s="239">
        <v>327.3</v>
      </c>
      <c r="Q32" s="239">
        <v>-2625.9</v>
      </c>
      <c r="R32" s="239">
        <v>676.4</v>
      </c>
      <c r="S32" s="239">
        <v>-33571</v>
      </c>
      <c r="T32" s="239">
        <v>4726.8999999999996</v>
      </c>
      <c r="U32" s="239">
        <f t="shared" si="20"/>
        <v>-30793.599999999999</v>
      </c>
      <c r="V32" s="239">
        <f t="shared" si="21"/>
        <v>2324.6999999999898</v>
      </c>
    </row>
    <row r="33" spans="1:22" s="170" customFormat="1" ht="11.45" customHeight="1">
      <c r="A33" s="957" t="s">
        <v>1383</v>
      </c>
      <c r="B33" s="304">
        <v>79320.899999999994</v>
      </c>
      <c r="C33" s="304">
        <v>151926.29999999999</v>
      </c>
      <c r="D33" s="304">
        <f t="shared" si="15"/>
        <v>-72605.399999999994</v>
      </c>
      <c r="E33" s="304">
        <v>16954.2</v>
      </c>
      <c r="F33" s="304">
        <v>25176</v>
      </c>
      <c r="G33" s="304">
        <f t="shared" si="16"/>
        <v>-8221.7999999999993</v>
      </c>
      <c r="H33" s="304">
        <v>748.4</v>
      </c>
      <c r="I33" s="304">
        <v>6203.6</v>
      </c>
      <c r="J33" s="304">
        <f t="shared" si="17"/>
        <v>-5455.2000000000007</v>
      </c>
      <c r="K33" s="304">
        <v>88.6</v>
      </c>
      <c r="L33" s="304">
        <v>53557.3</v>
      </c>
      <c r="M33" s="304">
        <f t="shared" si="18"/>
        <v>53645.9</v>
      </c>
      <c r="N33" s="304">
        <f t="shared" si="19"/>
        <v>-32636.499999999993</v>
      </c>
      <c r="O33" s="957" t="s">
        <v>1383</v>
      </c>
      <c r="P33" s="304">
        <v>811.9</v>
      </c>
      <c r="Q33" s="304">
        <v>-1805.9</v>
      </c>
      <c r="R33" s="304">
        <v>602.29999999999995</v>
      </c>
      <c r="S33" s="304">
        <v>-51217.4</v>
      </c>
      <c r="T33" s="304">
        <v>24346.9</v>
      </c>
      <c r="U33" s="304">
        <f t="shared" si="20"/>
        <v>-28074.1</v>
      </c>
      <c r="V33" s="304">
        <f t="shared" si="21"/>
        <v>3750.4999999999927</v>
      </c>
    </row>
    <row r="34" spans="1:22" s="170" customFormat="1" ht="11.45" customHeight="1">
      <c r="A34" s="1098" t="s">
        <v>2018</v>
      </c>
      <c r="B34" s="1097">
        <f>SUM(B35:B38)</f>
        <v>425479.5</v>
      </c>
      <c r="C34" s="987">
        <f t="shared" ref="C34:N34" si="24">SUM(C35:C38)</f>
        <v>712444.7</v>
      </c>
      <c r="D34" s="1097">
        <f t="shared" si="24"/>
        <v>-286965.19999999995</v>
      </c>
      <c r="E34" s="1097">
        <f t="shared" si="24"/>
        <v>86166</v>
      </c>
      <c r="F34" s="1097">
        <f t="shared" si="24"/>
        <v>117554.3</v>
      </c>
      <c r="G34" s="1097">
        <f t="shared" si="24"/>
        <v>-31388.300000000007</v>
      </c>
      <c r="H34" s="1097">
        <f t="shared" si="24"/>
        <v>3226.7999999999997</v>
      </c>
      <c r="I34" s="1097">
        <f t="shared" si="24"/>
        <v>26478.7</v>
      </c>
      <c r="J34" s="1097">
        <f t="shared" si="24"/>
        <v>-23251.9</v>
      </c>
      <c r="K34" s="1097">
        <f t="shared" si="24"/>
        <v>148.9</v>
      </c>
      <c r="L34" s="1097">
        <f t="shared" si="24"/>
        <v>186953.8</v>
      </c>
      <c r="M34" s="1097">
        <f t="shared" si="24"/>
        <v>187102.7</v>
      </c>
      <c r="N34" s="1097">
        <f t="shared" si="24"/>
        <v>-154502.70000000001</v>
      </c>
      <c r="O34" s="1098" t="s">
        <v>2018</v>
      </c>
      <c r="P34" s="987">
        <f t="shared" ref="P34:V34" si="25">SUM(P35:P38)</f>
        <v>1669.8</v>
      </c>
      <c r="Q34" s="987">
        <f t="shared" si="25"/>
        <v>-15705.4</v>
      </c>
      <c r="R34" s="987">
        <f t="shared" si="25"/>
        <v>3088.3</v>
      </c>
      <c r="S34" s="987">
        <f t="shared" si="25"/>
        <v>-128038.5</v>
      </c>
      <c r="T34" s="987">
        <f t="shared" si="25"/>
        <v>-31690.5</v>
      </c>
      <c r="U34" s="987">
        <f t="shared" si="25"/>
        <v>-172346.1</v>
      </c>
      <c r="V34" s="987">
        <f t="shared" si="25"/>
        <v>-19513.200000000008</v>
      </c>
    </row>
    <row r="35" spans="1:22" s="170" customFormat="1" ht="11.45" customHeight="1">
      <c r="A35" s="957" t="s">
        <v>1384</v>
      </c>
      <c r="B35" s="304">
        <v>89664.6</v>
      </c>
      <c r="C35" s="304">
        <v>147272.4</v>
      </c>
      <c r="D35" s="304">
        <f t="shared" ref="D35:D50" si="26">B35-C35</f>
        <v>-57607.799999999988</v>
      </c>
      <c r="E35" s="304">
        <v>18439.400000000001</v>
      </c>
      <c r="F35" s="304">
        <v>23105.200000000001</v>
      </c>
      <c r="G35" s="304">
        <f t="shared" ref="G35:G50" si="27">E35-F35</f>
        <v>-4665.7999999999993</v>
      </c>
      <c r="H35" s="304">
        <v>846.7</v>
      </c>
      <c r="I35" s="304">
        <v>6387.1</v>
      </c>
      <c r="J35" s="304">
        <f t="shared" ref="J35:J50" si="28">H35-I35</f>
        <v>-5540.4000000000005</v>
      </c>
      <c r="K35" s="304">
        <v>59.4</v>
      </c>
      <c r="L35" s="304">
        <v>47187.6</v>
      </c>
      <c r="M35" s="304">
        <f t="shared" ref="M35:M38" si="29">K35+L35</f>
        <v>47247</v>
      </c>
      <c r="N35" s="304">
        <f t="shared" ref="N35:N38" si="30">D35+G35+J35+M35</f>
        <v>-20566.999999999985</v>
      </c>
      <c r="O35" s="957" t="s">
        <v>1384</v>
      </c>
      <c r="P35" s="304">
        <v>581.1</v>
      </c>
      <c r="Q35" s="304">
        <v>-3184.2</v>
      </c>
      <c r="R35" s="304">
        <v>817</v>
      </c>
      <c r="S35" s="304">
        <v>-24155</v>
      </c>
      <c r="T35" s="304">
        <v>-267.39999999999998</v>
      </c>
      <c r="U35" s="304">
        <f t="shared" ref="U35:U40" si="31">Q35+R35+S35+T35</f>
        <v>-26789.600000000002</v>
      </c>
      <c r="V35" s="304">
        <f t="shared" si="21"/>
        <v>-6803.7000000000153</v>
      </c>
    </row>
    <row r="36" spans="1:22" s="170" customFormat="1" ht="11.45" customHeight="1">
      <c r="A36" s="956" t="s">
        <v>1381</v>
      </c>
      <c r="B36" s="239">
        <v>109026.4</v>
      </c>
      <c r="C36" s="239">
        <v>185613.8</v>
      </c>
      <c r="D36" s="239">
        <f t="shared" si="26"/>
        <v>-76587.399999999994</v>
      </c>
      <c r="E36" s="239">
        <v>22341.8</v>
      </c>
      <c r="F36" s="239">
        <v>30961.9</v>
      </c>
      <c r="G36" s="239">
        <f t="shared" si="27"/>
        <v>-8620.1000000000022</v>
      </c>
      <c r="H36" s="239">
        <v>603.79999999999995</v>
      </c>
      <c r="I36" s="239">
        <v>5996.4</v>
      </c>
      <c r="J36" s="239">
        <f t="shared" si="28"/>
        <v>-5392.5999999999995</v>
      </c>
      <c r="K36" s="239">
        <v>45.7</v>
      </c>
      <c r="L36" s="239">
        <v>42860.4</v>
      </c>
      <c r="M36" s="239">
        <f t="shared" si="29"/>
        <v>42906.1</v>
      </c>
      <c r="N36" s="239">
        <f t="shared" si="30"/>
        <v>-47694.000000000007</v>
      </c>
      <c r="O36" s="956" t="s">
        <v>1381</v>
      </c>
      <c r="P36" s="239">
        <v>606.4</v>
      </c>
      <c r="Q36" s="239">
        <v>-6373.6</v>
      </c>
      <c r="R36" s="239">
        <v>570.1</v>
      </c>
      <c r="S36" s="239">
        <v>-40831.5</v>
      </c>
      <c r="T36" s="239">
        <v>-148</v>
      </c>
      <c r="U36" s="239">
        <f t="shared" si="31"/>
        <v>-46783</v>
      </c>
      <c r="V36" s="239">
        <f t="shared" si="21"/>
        <v>304.60000000000582</v>
      </c>
    </row>
    <row r="37" spans="1:22" s="170" customFormat="1" ht="11.45" customHeight="1">
      <c r="A37" s="957" t="s">
        <v>1382</v>
      </c>
      <c r="B37" s="304">
        <v>113777</v>
      </c>
      <c r="C37" s="304">
        <v>193965.9</v>
      </c>
      <c r="D37" s="304">
        <f t="shared" si="26"/>
        <v>-80188.899999999994</v>
      </c>
      <c r="E37" s="304">
        <v>21237.8</v>
      </c>
      <c r="F37" s="304">
        <v>29981.4</v>
      </c>
      <c r="G37" s="304">
        <f t="shared" si="27"/>
        <v>-8743.6000000000022</v>
      </c>
      <c r="H37" s="304">
        <v>909.2</v>
      </c>
      <c r="I37" s="304">
        <v>7264.9</v>
      </c>
      <c r="J37" s="304">
        <f t="shared" si="28"/>
        <v>-6355.7</v>
      </c>
      <c r="K37" s="304">
        <v>24</v>
      </c>
      <c r="L37" s="304">
        <v>44590.5</v>
      </c>
      <c r="M37" s="304">
        <f t="shared" si="29"/>
        <v>44614.5</v>
      </c>
      <c r="N37" s="304">
        <f t="shared" si="30"/>
        <v>-50673.7</v>
      </c>
      <c r="O37" s="957" t="s">
        <v>1382</v>
      </c>
      <c r="P37" s="304">
        <v>239.3</v>
      </c>
      <c r="Q37" s="304">
        <v>-4441.8999999999996</v>
      </c>
      <c r="R37" s="304">
        <v>590.70000000000005</v>
      </c>
      <c r="S37" s="304">
        <v>-33771.199999999997</v>
      </c>
      <c r="T37" s="304">
        <v>-16767.2</v>
      </c>
      <c r="U37" s="304">
        <f t="shared" si="31"/>
        <v>-54389.599999999991</v>
      </c>
      <c r="V37" s="304">
        <f t="shared" si="21"/>
        <v>-3955.1999999999971</v>
      </c>
    </row>
    <row r="38" spans="1:22" s="170" customFormat="1" ht="11.45" customHeight="1">
      <c r="A38" s="956" t="s">
        <v>1383</v>
      </c>
      <c r="B38" s="239">
        <v>113011.5</v>
      </c>
      <c r="C38" s="239">
        <v>185592.6</v>
      </c>
      <c r="D38" s="239">
        <f t="shared" si="26"/>
        <v>-72581.100000000006</v>
      </c>
      <c r="E38" s="239">
        <v>24147</v>
      </c>
      <c r="F38" s="239">
        <v>33505.800000000003</v>
      </c>
      <c r="G38" s="239">
        <f t="shared" si="27"/>
        <v>-9358.8000000000029</v>
      </c>
      <c r="H38" s="239">
        <v>867.1</v>
      </c>
      <c r="I38" s="239">
        <v>6830.3</v>
      </c>
      <c r="J38" s="239">
        <f t="shared" si="28"/>
        <v>-5963.2</v>
      </c>
      <c r="K38" s="239">
        <v>19.8</v>
      </c>
      <c r="L38" s="239">
        <v>52315.3</v>
      </c>
      <c r="M38" s="239">
        <f t="shared" si="29"/>
        <v>52335.100000000006</v>
      </c>
      <c r="N38" s="239">
        <f t="shared" si="30"/>
        <v>-35568</v>
      </c>
      <c r="O38" s="956" t="s">
        <v>1383</v>
      </c>
      <c r="P38" s="239">
        <v>243</v>
      </c>
      <c r="Q38" s="239">
        <v>-1705.7</v>
      </c>
      <c r="R38" s="239">
        <v>1110.5</v>
      </c>
      <c r="S38" s="239">
        <v>-29280.799999999999</v>
      </c>
      <c r="T38" s="239">
        <v>-14507.9</v>
      </c>
      <c r="U38" s="239">
        <f t="shared" si="31"/>
        <v>-44383.9</v>
      </c>
      <c r="V38" s="239">
        <f t="shared" si="21"/>
        <v>-9058.9000000000015</v>
      </c>
    </row>
    <row r="39" spans="1:22" s="170" customFormat="1" ht="11.45" customHeight="1">
      <c r="A39" s="1727" t="s">
        <v>2299</v>
      </c>
      <c r="B39" s="955">
        <f>SUM(B40:B43)</f>
        <v>521162.4</v>
      </c>
      <c r="C39" s="954">
        <f t="shared" ref="C39:N39" si="32">SUM(C40:C43)</f>
        <v>688957.7</v>
      </c>
      <c r="D39" s="955">
        <f t="shared" si="32"/>
        <v>-167795.3</v>
      </c>
      <c r="E39" s="955">
        <f t="shared" si="32"/>
        <v>69705</v>
      </c>
      <c r="F39" s="955">
        <f t="shared" si="32"/>
        <v>111571.1</v>
      </c>
      <c r="G39" s="955">
        <f t="shared" si="32"/>
        <v>-41866.100000000006</v>
      </c>
      <c r="H39" s="955">
        <f t="shared" si="32"/>
        <v>4556.5</v>
      </c>
      <c r="I39" s="955">
        <f t="shared" si="32"/>
        <v>37920.799999999996</v>
      </c>
      <c r="J39" s="955">
        <f t="shared" si="32"/>
        <v>-33364.300000000003</v>
      </c>
      <c r="K39" s="955">
        <f t="shared" si="32"/>
        <v>934.4</v>
      </c>
      <c r="L39" s="955">
        <f t="shared" si="32"/>
        <v>220411.5</v>
      </c>
      <c r="M39" s="955">
        <f t="shared" si="32"/>
        <v>221345.9</v>
      </c>
      <c r="N39" s="955">
        <f t="shared" si="32"/>
        <v>-21679.799999999967</v>
      </c>
      <c r="O39" s="1727" t="s">
        <v>2299</v>
      </c>
      <c r="P39" s="954">
        <f t="shared" ref="P39:V39" si="33">SUM(P40:P43)</f>
        <v>5028.2</v>
      </c>
      <c r="Q39" s="954">
        <f t="shared" si="33"/>
        <v>-16357.100000000002</v>
      </c>
      <c r="R39" s="954">
        <f t="shared" si="33"/>
        <v>2588.1999999999998</v>
      </c>
      <c r="S39" s="954">
        <f t="shared" si="33"/>
        <v>52183.8</v>
      </c>
      <c r="T39" s="954">
        <f t="shared" si="33"/>
        <v>-81950.299999999988</v>
      </c>
      <c r="U39" s="954">
        <f t="shared" si="33"/>
        <v>-43535.400000000009</v>
      </c>
      <c r="V39" s="954">
        <f t="shared" si="33"/>
        <v>-26883.800000000047</v>
      </c>
    </row>
    <row r="40" spans="1:22" s="1646" customFormat="1" ht="11.45" customHeight="1">
      <c r="A40" s="956" t="s">
        <v>1384</v>
      </c>
      <c r="B40" s="1645">
        <v>111586.5</v>
      </c>
      <c r="C40" s="1645">
        <v>182640.6</v>
      </c>
      <c r="D40" s="1645">
        <f>B40-C40</f>
        <v>-71054.100000000006</v>
      </c>
      <c r="E40" s="1645">
        <v>18099.3</v>
      </c>
      <c r="F40" s="1645">
        <v>27425.7</v>
      </c>
      <c r="G40" s="1645">
        <f>E40-F40</f>
        <v>-9326.4000000000015</v>
      </c>
      <c r="H40" s="1645">
        <v>1004.8</v>
      </c>
      <c r="I40" s="1645">
        <v>7625.2</v>
      </c>
      <c r="J40" s="1645">
        <f>H40-I40</f>
        <v>-6620.4</v>
      </c>
      <c r="K40" s="1645">
        <v>145.4</v>
      </c>
      <c r="L40" s="1645">
        <v>54880.800000000003</v>
      </c>
      <c r="M40" s="1645">
        <f>K40+L40</f>
        <v>55026.200000000004</v>
      </c>
      <c r="N40" s="239">
        <f>D40+G40+J40+M40</f>
        <v>-31974.69999999999</v>
      </c>
      <c r="O40" s="956" t="s">
        <v>1384</v>
      </c>
      <c r="P40" s="1645">
        <v>344.4</v>
      </c>
      <c r="Q40" s="1645">
        <v>-4787.3</v>
      </c>
      <c r="R40" s="1645">
        <v>556.9</v>
      </c>
      <c r="S40" s="1645">
        <v>13466.3</v>
      </c>
      <c r="T40" s="1645">
        <v>-43937.3</v>
      </c>
      <c r="U40" s="239">
        <f t="shared" si="31"/>
        <v>-34701.400000000009</v>
      </c>
      <c r="V40" s="239">
        <f t="shared" si="21"/>
        <v>-3071.1000000000204</v>
      </c>
    </row>
    <row r="41" spans="1:22" s="170" customFormat="1" ht="11.45" customHeight="1">
      <c r="A41" s="957" t="s">
        <v>1381</v>
      </c>
      <c r="B41" s="304">
        <v>137361.29999999999</v>
      </c>
      <c r="C41" s="304">
        <v>182212.3</v>
      </c>
      <c r="D41" s="304">
        <f t="shared" ref="D41:D43" si="34">B41-C41</f>
        <v>-44851</v>
      </c>
      <c r="E41" s="304">
        <v>18472.3</v>
      </c>
      <c r="F41" s="304">
        <v>27242</v>
      </c>
      <c r="G41" s="304">
        <f t="shared" ref="G41:G43" si="35">E41-F41</f>
        <v>-8769.7000000000007</v>
      </c>
      <c r="H41" s="304">
        <v>1155.9000000000001</v>
      </c>
      <c r="I41" s="304">
        <v>7758.2</v>
      </c>
      <c r="J41" s="304">
        <f t="shared" ref="J41:J43" si="36">H41-I41</f>
        <v>-6602.2999999999993</v>
      </c>
      <c r="K41" s="304">
        <v>229.1</v>
      </c>
      <c r="L41" s="304">
        <v>48728.9</v>
      </c>
      <c r="M41" s="304">
        <f t="shared" ref="M41:M43" si="37">K41+L41</f>
        <v>48958</v>
      </c>
      <c r="N41" s="304">
        <f t="shared" ref="N41:N43" si="38">D41+G41+J41+M41</f>
        <v>-11265</v>
      </c>
      <c r="O41" s="957" t="s">
        <v>1381</v>
      </c>
      <c r="P41" s="304">
        <v>1347.6</v>
      </c>
      <c r="Q41" s="304">
        <v>-3800.9</v>
      </c>
      <c r="R41" s="304">
        <v>686.7</v>
      </c>
      <c r="S41" s="304">
        <v>12662</v>
      </c>
      <c r="T41" s="304">
        <v>-26620.2</v>
      </c>
      <c r="U41" s="304">
        <f t="shared" ref="U41:U43" si="39">Q41+R41+S41+T41</f>
        <v>-17072.400000000001</v>
      </c>
      <c r="V41" s="304">
        <f t="shared" ref="V41:V43" si="40">-(N41+P41-U41)</f>
        <v>-7155.0000000000018</v>
      </c>
    </row>
    <row r="42" spans="1:22" s="170" customFormat="1" ht="11.45" customHeight="1">
      <c r="A42" s="956" t="s">
        <v>1382</v>
      </c>
      <c r="B42" s="239">
        <v>136070.1</v>
      </c>
      <c r="C42" s="239">
        <v>161717.5</v>
      </c>
      <c r="D42" s="1645">
        <f t="shared" si="34"/>
        <v>-25647.399999999994</v>
      </c>
      <c r="E42" s="239">
        <v>16162.1</v>
      </c>
      <c r="F42" s="239">
        <v>25515.3</v>
      </c>
      <c r="G42" s="1645">
        <f t="shared" si="35"/>
        <v>-9353.1999999999989</v>
      </c>
      <c r="H42" s="239">
        <v>1128.2</v>
      </c>
      <c r="I42" s="239">
        <v>9032.7999999999993</v>
      </c>
      <c r="J42" s="1645">
        <f t="shared" si="36"/>
        <v>-7904.5999999999995</v>
      </c>
      <c r="K42" s="239">
        <v>232.9</v>
      </c>
      <c r="L42" s="239">
        <v>56976.4</v>
      </c>
      <c r="M42" s="1645">
        <f t="shared" si="37"/>
        <v>57209.3</v>
      </c>
      <c r="N42" s="239">
        <f t="shared" si="38"/>
        <v>14304.100000000013</v>
      </c>
      <c r="O42" s="956" t="s">
        <v>1382</v>
      </c>
      <c r="P42" s="239">
        <v>1229.2</v>
      </c>
      <c r="Q42" s="239">
        <v>-3169.1</v>
      </c>
      <c r="R42" s="239">
        <v>796.7</v>
      </c>
      <c r="S42" s="239">
        <v>33100</v>
      </c>
      <c r="T42" s="239">
        <v>-20936.400000000001</v>
      </c>
      <c r="U42" s="239">
        <f t="shared" si="39"/>
        <v>9791.1999999999971</v>
      </c>
      <c r="V42" s="239">
        <f t="shared" si="40"/>
        <v>-5742.1000000000167</v>
      </c>
    </row>
    <row r="43" spans="1:22" s="170" customFormat="1" ht="11.45" customHeight="1">
      <c r="A43" s="957" t="s">
        <v>1383</v>
      </c>
      <c r="B43" s="304">
        <v>136144.5</v>
      </c>
      <c r="C43" s="304">
        <v>162387.29999999999</v>
      </c>
      <c r="D43" s="304">
        <f t="shared" si="34"/>
        <v>-26242.799999999988</v>
      </c>
      <c r="E43" s="304">
        <v>16971.3</v>
      </c>
      <c r="F43" s="304">
        <v>31388.1</v>
      </c>
      <c r="G43" s="304">
        <f t="shared" si="35"/>
        <v>-14416.8</v>
      </c>
      <c r="H43" s="304">
        <v>1267.5999999999999</v>
      </c>
      <c r="I43" s="304">
        <v>13504.6</v>
      </c>
      <c r="J43" s="304">
        <f t="shared" si="36"/>
        <v>-12237</v>
      </c>
      <c r="K43" s="304">
        <v>327</v>
      </c>
      <c r="L43" s="304">
        <v>59825.4</v>
      </c>
      <c r="M43" s="304">
        <f t="shared" si="37"/>
        <v>60152.4</v>
      </c>
      <c r="N43" s="304">
        <f t="shared" si="38"/>
        <v>7255.8000000000102</v>
      </c>
      <c r="O43" s="957" t="s">
        <v>1383</v>
      </c>
      <c r="P43" s="304">
        <v>2107</v>
      </c>
      <c r="Q43" s="304">
        <v>-4599.8</v>
      </c>
      <c r="R43" s="304">
        <v>547.9</v>
      </c>
      <c r="S43" s="304">
        <v>-7044.5</v>
      </c>
      <c r="T43" s="304">
        <v>9543.6</v>
      </c>
      <c r="U43" s="304">
        <f t="shared" si="39"/>
        <v>-1552.7999999999993</v>
      </c>
      <c r="V43" s="304">
        <f t="shared" si="40"/>
        <v>-10915.600000000009</v>
      </c>
    </row>
    <row r="44" spans="1:22" s="170" customFormat="1" ht="11.45" customHeight="1">
      <c r="A44" s="1701" t="s">
        <v>2556</v>
      </c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1701" t="s">
        <v>2556</v>
      </c>
      <c r="P44" s="239"/>
      <c r="Q44" s="239"/>
      <c r="R44" s="239"/>
      <c r="S44" s="239"/>
      <c r="T44" s="239"/>
      <c r="U44" s="239"/>
      <c r="V44" s="239"/>
    </row>
    <row r="45" spans="1:22" s="170" customFormat="1" ht="11.45" customHeight="1">
      <c r="A45" s="937" t="s">
        <v>576</v>
      </c>
      <c r="B45" s="304">
        <v>47377.9</v>
      </c>
      <c r="C45" s="304">
        <v>54293.2</v>
      </c>
      <c r="D45" s="304">
        <f t="shared" si="26"/>
        <v>-6915.2999999999956</v>
      </c>
      <c r="E45" s="304">
        <v>5632.4</v>
      </c>
      <c r="F45" s="304">
        <v>10019.9</v>
      </c>
      <c r="G45" s="304">
        <f t="shared" si="27"/>
        <v>-4387.5</v>
      </c>
      <c r="H45" s="304">
        <v>342</v>
      </c>
      <c r="I45" s="304">
        <v>3576.2</v>
      </c>
      <c r="J45" s="304">
        <f t="shared" si="28"/>
        <v>-3234.2</v>
      </c>
      <c r="K45" s="304">
        <v>0.4</v>
      </c>
      <c r="L45" s="304">
        <v>22042.3</v>
      </c>
      <c r="M45" s="304">
        <f t="shared" ref="M45:M46" si="41">K45+L45</f>
        <v>22042.7</v>
      </c>
      <c r="N45" s="304">
        <f t="shared" ref="N45:N46" si="42">D45+G45+J45+M45</f>
        <v>7505.7000000000044</v>
      </c>
      <c r="O45" s="957" t="s">
        <v>576</v>
      </c>
      <c r="P45" s="304">
        <v>5.0999999999999996</v>
      </c>
      <c r="Q45" s="304">
        <v>-1169.0999999999999</v>
      </c>
      <c r="R45" s="304">
        <v>234</v>
      </c>
      <c r="S45" s="304">
        <v>26285</v>
      </c>
      <c r="T45" s="304">
        <v>-15931.8</v>
      </c>
      <c r="U45" s="304">
        <f t="shared" ref="U45:U46" si="43">Q45+R45+S45+T45</f>
        <v>9418.1000000000022</v>
      </c>
      <c r="V45" s="304">
        <f t="shared" ref="V45:V46" si="44">-(N45+P45-U45)</f>
        <v>1907.2999999999975</v>
      </c>
    </row>
    <row r="46" spans="1:22" s="170" customFormat="1" ht="11.45" customHeight="1">
      <c r="A46" s="938" t="s">
        <v>577</v>
      </c>
      <c r="B46" s="239">
        <v>49192.7</v>
      </c>
      <c r="C46" s="239">
        <v>53307.7</v>
      </c>
      <c r="D46" s="239">
        <f t="shared" si="26"/>
        <v>-4115</v>
      </c>
      <c r="E46" s="239">
        <v>5623.7</v>
      </c>
      <c r="F46" s="239">
        <v>9415.6</v>
      </c>
      <c r="G46" s="239">
        <f t="shared" si="27"/>
        <v>-3791.9000000000005</v>
      </c>
      <c r="H46" s="239">
        <v>662</v>
      </c>
      <c r="I46" s="239">
        <v>2786.8</v>
      </c>
      <c r="J46" s="239">
        <f t="shared" si="28"/>
        <v>-2124.8000000000002</v>
      </c>
      <c r="K46" s="239">
        <v>8.6999999999999993</v>
      </c>
      <c r="L46" s="239">
        <v>17938.7</v>
      </c>
      <c r="M46" s="239">
        <f t="shared" si="41"/>
        <v>17947.400000000001</v>
      </c>
      <c r="N46" s="239">
        <f t="shared" si="42"/>
        <v>7915.7000000000007</v>
      </c>
      <c r="O46" s="956" t="s">
        <v>577</v>
      </c>
      <c r="P46" s="239">
        <v>115.4</v>
      </c>
      <c r="Q46" s="239">
        <v>-1063.9000000000001</v>
      </c>
      <c r="R46" s="239">
        <v>59.3</v>
      </c>
      <c r="S46" s="239">
        <v>12561</v>
      </c>
      <c r="T46" s="239">
        <v>-166.8</v>
      </c>
      <c r="U46" s="239">
        <f t="shared" si="43"/>
        <v>11389.6</v>
      </c>
      <c r="V46" s="239">
        <f t="shared" si="44"/>
        <v>3358.5</v>
      </c>
    </row>
    <row r="47" spans="1:22" s="170" customFormat="1" ht="11.45" customHeight="1">
      <c r="A47" s="937" t="s">
        <v>571</v>
      </c>
      <c r="B47" s="304">
        <v>44905.599999999999</v>
      </c>
      <c r="C47" s="304">
        <v>53744.4</v>
      </c>
      <c r="D47" s="304">
        <f t="shared" si="26"/>
        <v>-8838.8000000000029</v>
      </c>
      <c r="E47" s="304">
        <v>4812.5</v>
      </c>
      <c r="F47" s="304">
        <v>9886.5</v>
      </c>
      <c r="G47" s="304">
        <f t="shared" si="27"/>
        <v>-5074</v>
      </c>
      <c r="H47" s="304">
        <v>249.4</v>
      </c>
      <c r="I47" s="304">
        <v>3293.3</v>
      </c>
      <c r="J47" s="304">
        <f t="shared" si="28"/>
        <v>-3043.9</v>
      </c>
      <c r="K47" s="304">
        <v>86</v>
      </c>
      <c r="L47" s="304">
        <v>15305.3</v>
      </c>
      <c r="M47" s="304">
        <f t="shared" ref="M47:M50" si="45">K47+L47</f>
        <v>15391.3</v>
      </c>
      <c r="N47" s="304">
        <f t="shared" ref="N47:N50" si="46">D47+G47+J47+M47</f>
        <v>-1565.4000000000051</v>
      </c>
      <c r="O47" s="1724" t="s">
        <v>571</v>
      </c>
      <c r="P47" s="304">
        <v>339.3</v>
      </c>
      <c r="Q47" s="304">
        <v>-1232.3</v>
      </c>
      <c r="R47" s="304">
        <v>597.9</v>
      </c>
      <c r="S47" s="304">
        <v>20301.5</v>
      </c>
      <c r="T47" s="304">
        <v>-22331.9</v>
      </c>
      <c r="U47" s="304">
        <f t="shared" ref="U47:U50" si="47">Q47+R47+S47+T47</f>
        <v>-2664.8000000000029</v>
      </c>
      <c r="V47" s="304">
        <f t="shared" ref="V47:V50" si="48">-(N47+P47-U47)</f>
        <v>-1438.6999999999978</v>
      </c>
    </row>
    <row r="48" spans="1:22" s="170" customFormat="1" ht="11.45" customHeight="1">
      <c r="A48" s="938" t="s">
        <v>578</v>
      </c>
      <c r="B48" s="239">
        <v>38962.199999999997</v>
      </c>
      <c r="C48" s="239">
        <v>60983.8</v>
      </c>
      <c r="D48" s="239">
        <f t="shared" si="26"/>
        <v>-22021.600000000006</v>
      </c>
      <c r="E48" s="239">
        <v>5889.1</v>
      </c>
      <c r="F48" s="239">
        <v>11002.4</v>
      </c>
      <c r="G48" s="239">
        <f t="shared" si="27"/>
        <v>-5113.2999999999993</v>
      </c>
      <c r="H48" s="239">
        <v>350.3</v>
      </c>
      <c r="I48" s="239">
        <v>4916.5</v>
      </c>
      <c r="J48" s="239">
        <f t="shared" si="28"/>
        <v>-4566.2</v>
      </c>
      <c r="K48" s="239">
        <v>11.5</v>
      </c>
      <c r="L48" s="239">
        <v>22311.4</v>
      </c>
      <c r="M48" s="239">
        <f t="shared" si="45"/>
        <v>22322.9</v>
      </c>
      <c r="N48" s="239">
        <f t="shared" si="46"/>
        <v>-9378.2000000000044</v>
      </c>
      <c r="O48" s="1737" t="s">
        <v>578</v>
      </c>
      <c r="P48" s="239">
        <v>152.5</v>
      </c>
      <c r="Q48" s="239">
        <v>-749.9</v>
      </c>
      <c r="R48" s="239">
        <v>218</v>
      </c>
      <c r="S48" s="239">
        <v>-6718.9</v>
      </c>
      <c r="T48" s="239">
        <v>-2845.9</v>
      </c>
      <c r="U48" s="239">
        <f t="shared" si="47"/>
        <v>-10096.699999999999</v>
      </c>
      <c r="V48" s="239">
        <f t="shared" si="48"/>
        <v>-870.99999999999454</v>
      </c>
    </row>
    <row r="49" spans="1:22" s="170" customFormat="1" ht="11.45" customHeight="1">
      <c r="A49" s="1724" t="s">
        <v>579</v>
      </c>
      <c r="B49" s="304">
        <v>49954.3</v>
      </c>
      <c r="C49" s="304">
        <v>60488.9</v>
      </c>
      <c r="D49" s="304">
        <f t="shared" si="26"/>
        <v>-10534.599999999999</v>
      </c>
      <c r="E49" s="304">
        <v>5731.1</v>
      </c>
      <c r="F49" s="304">
        <v>10131.9</v>
      </c>
      <c r="G49" s="304">
        <f t="shared" si="27"/>
        <v>-4400.7999999999993</v>
      </c>
      <c r="H49" s="304">
        <v>448.2</v>
      </c>
      <c r="I49" s="304">
        <v>3579.6</v>
      </c>
      <c r="J49" s="304">
        <f t="shared" si="28"/>
        <v>-3131.4</v>
      </c>
      <c r="K49" s="304">
        <v>2.6</v>
      </c>
      <c r="L49" s="304">
        <v>21844.5</v>
      </c>
      <c r="M49" s="304">
        <f t="shared" si="45"/>
        <v>21847.1</v>
      </c>
      <c r="N49" s="304">
        <f t="shared" si="46"/>
        <v>3780.2999999999993</v>
      </c>
      <c r="O49" s="1724" t="s">
        <v>579</v>
      </c>
      <c r="P49" s="304">
        <v>34.4</v>
      </c>
      <c r="Q49" s="304">
        <v>-1049.4000000000001</v>
      </c>
      <c r="R49" s="304">
        <v>227.2</v>
      </c>
      <c r="S49" s="304">
        <v>24651.4</v>
      </c>
      <c r="T49" s="304">
        <v>-17717.5</v>
      </c>
      <c r="U49" s="304">
        <f t="shared" si="47"/>
        <v>6111.7000000000007</v>
      </c>
      <c r="V49" s="304">
        <f t="shared" si="48"/>
        <v>2297.0000000000014</v>
      </c>
    </row>
    <row r="50" spans="1:22" s="170" customFormat="1" ht="11.45" customHeight="1" thickBot="1">
      <c r="A50" s="1837" t="s">
        <v>572</v>
      </c>
      <c r="B50" s="660">
        <v>55320.4</v>
      </c>
      <c r="C50" s="660">
        <v>53498.7</v>
      </c>
      <c r="D50" s="660">
        <f t="shared" si="26"/>
        <v>1821.7000000000044</v>
      </c>
      <c r="E50" s="660">
        <v>6973.5</v>
      </c>
      <c r="F50" s="660">
        <v>9796.2000000000007</v>
      </c>
      <c r="G50" s="660">
        <f t="shared" si="27"/>
        <v>-2822.7000000000007</v>
      </c>
      <c r="H50" s="660">
        <v>463.5</v>
      </c>
      <c r="I50" s="660">
        <v>5410.9</v>
      </c>
      <c r="J50" s="660">
        <f t="shared" si="28"/>
        <v>-4947.3999999999996</v>
      </c>
      <c r="K50" s="660">
        <v>138.80000000000001</v>
      </c>
      <c r="L50" s="660">
        <v>22555.8</v>
      </c>
      <c r="M50" s="660">
        <f t="shared" si="45"/>
        <v>22694.6</v>
      </c>
      <c r="N50" s="660">
        <f t="shared" si="46"/>
        <v>16746.200000000004</v>
      </c>
      <c r="O50" s="1837" t="s">
        <v>572</v>
      </c>
      <c r="P50" s="660">
        <v>1111.5</v>
      </c>
      <c r="Q50" s="660">
        <v>-1691.4</v>
      </c>
      <c r="R50" s="660">
        <v>773.9</v>
      </c>
      <c r="S50" s="660">
        <v>-13120.9</v>
      </c>
      <c r="T50" s="660">
        <v>27512.9</v>
      </c>
      <c r="U50" s="660">
        <f t="shared" si="47"/>
        <v>13474.500000000002</v>
      </c>
      <c r="V50" s="660">
        <f t="shared" si="48"/>
        <v>-4383.2000000000025</v>
      </c>
    </row>
    <row r="51" spans="1:22" s="170" customFormat="1" ht="11.25" customHeight="1">
      <c r="A51" s="179" t="s">
        <v>1442</v>
      </c>
      <c r="B51" s="2051" t="s">
        <v>1362</v>
      </c>
      <c r="C51" s="2051"/>
      <c r="D51" s="2051"/>
      <c r="E51" s="2051"/>
      <c r="F51" s="2051"/>
      <c r="G51" s="2051"/>
      <c r="H51" s="2147" t="s">
        <v>2493</v>
      </c>
      <c r="I51" s="2147"/>
      <c r="J51" s="2147"/>
      <c r="K51" s="2147"/>
      <c r="L51" s="1644"/>
      <c r="M51" s="1504"/>
      <c r="N51" s="1504"/>
      <c r="O51" s="105" t="s">
        <v>755</v>
      </c>
      <c r="P51" s="180" t="s">
        <v>1443</v>
      </c>
      <c r="Q51" s="180"/>
      <c r="R51" s="180"/>
      <c r="S51" s="180"/>
      <c r="T51" s="180"/>
      <c r="U51" s="180"/>
      <c r="V51" s="180"/>
    </row>
    <row r="52" spans="1:22" s="170" customFormat="1">
      <c r="A52" s="168"/>
      <c r="B52" s="180" t="s">
        <v>262</v>
      </c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80" t="s">
        <v>1444</v>
      </c>
      <c r="Q52" s="180"/>
      <c r="R52" s="180"/>
      <c r="S52" s="180"/>
      <c r="T52" s="180"/>
      <c r="U52" s="180"/>
      <c r="V52" s="180"/>
    </row>
    <row r="53" spans="1:22" s="170" customFormat="1" ht="15.75" customHeight="1">
      <c r="H53" s="2147"/>
      <c r="I53" s="2147"/>
      <c r="J53" s="2147"/>
      <c r="K53" s="2147"/>
      <c r="P53" s="180" t="s">
        <v>262</v>
      </c>
    </row>
    <row r="54" spans="1:22" s="170" customFormat="1">
      <c r="Q54" s="487"/>
    </row>
    <row r="55" spans="1:22" s="170" customFormat="1">
      <c r="G55" s="181"/>
    </row>
    <row r="56" spans="1:22" s="170" customFormat="1"/>
    <row r="57" spans="1:22" s="170" customFormat="1"/>
    <row r="58" spans="1:22" s="170" customFormat="1"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</row>
    <row r="59" spans="1:22" s="170" customFormat="1">
      <c r="V59" s="181"/>
    </row>
    <row r="60" spans="1:22" s="170" customFormat="1">
      <c r="G60" s="181"/>
    </row>
    <row r="61" spans="1:22" s="170" customFormat="1"/>
    <row r="62" spans="1:22" s="170" customFormat="1"/>
    <row r="63" spans="1:22" s="170" customFormat="1"/>
    <row r="64" spans="1:22" s="170" customFormat="1"/>
    <row r="65" spans="7:7" s="170" customFormat="1"/>
    <row r="66" spans="7:7" s="170" customFormat="1"/>
    <row r="67" spans="7:7" s="170" customFormat="1"/>
    <row r="68" spans="7:7" s="170" customFormat="1"/>
    <row r="69" spans="7:7" s="170" customFormat="1"/>
    <row r="70" spans="7:7" s="170" customFormat="1">
      <c r="G70" s="181"/>
    </row>
    <row r="71" spans="7:7" s="170" customFormat="1"/>
    <row r="72" spans="7:7" s="170" customFormat="1"/>
    <row r="73" spans="7:7" s="170" customFormat="1"/>
    <row r="74" spans="7:7" s="170" customFormat="1"/>
    <row r="75" spans="7:7" s="170" customFormat="1"/>
    <row r="76" spans="7:7" s="170" customFormat="1"/>
    <row r="77" spans="7:7" s="170" customFormat="1"/>
    <row r="78" spans="7:7" s="170" customFormat="1"/>
    <row r="79" spans="7:7" s="170" customFormat="1"/>
    <row r="80" spans="7:7" s="170" customFormat="1"/>
    <row r="81" s="170" customFormat="1"/>
    <row r="82" s="170" customFormat="1"/>
    <row r="83" s="170" customFormat="1"/>
    <row r="84" s="170" customFormat="1"/>
    <row r="85" s="170" customFormat="1"/>
    <row r="86" s="170" customFormat="1"/>
    <row r="87" s="170" customFormat="1"/>
    <row r="88" s="170" customFormat="1"/>
    <row r="89" s="170" customFormat="1"/>
    <row r="90" s="170" customFormat="1"/>
    <row r="91" s="170" customFormat="1"/>
    <row r="92" s="170" customFormat="1"/>
    <row r="93" s="170" customFormat="1"/>
    <row r="94" s="170" customFormat="1"/>
    <row r="95" s="170" customFormat="1"/>
    <row r="96" s="170" customFormat="1"/>
    <row r="97" s="170" customFormat="1"/>
    <row r="98" s="170" customFormat="1"/>
    <row r="99" s="170" customFormat="1"/>
    <row r="100" s="170" customFormat="1"/>
    <row r="101" s="170" customFormat="1"/>
    <row r="102" s="170" customFormat="1"/>
    <row r="103" s="170" customFormat="1"/>
    <row r="104" s="170" customFormat="1"/>
    <row r="105" s="170" customFormat="1"/>
    <row r="106" s="170" customFormat="1"/>
    <row r="107" s="170" customFormat="1"/>
    <row r="108" s="170" customFormat="1"/>
    <row r="109" s="170" customFormat="1"/>
    <row r="110" s="170" customFormat="1"/>
    <row r="111" s="170" customFormat="1"/>
    <row r="112" s="170" customFormat="1"/>
    <row r="113" s="170" customFormat="1"/>
    <row r="114" s="170" customFormat="1"/>
    <row r="115" s="170" customFormat="1"/>
    <row r="116" s="170" customFormat="1"/>
    <row r="117" s="170" customFormat="1"/>
    <row r="118" s="170" customFormat="1"/>
    <row r="119" s="170" customFormat="1"/>
    <row r="120" s="170" customFormat="1"/>
    <row r="121" s="170" customFormat="1"/>
    <row r="122" s="170" customFormat="1"/>
    <row r="123" s="170" customFormat="1"/>
    <row r="124" s="170" customFormat="1"/>
    <row r="125" s="170" customFormat="1"/>
    <row r="126" s="170" customFormat="1"/>
    <row r="127" s="170" customFormat="1"/>
    <row r="128" s="170" customFormat="1"/>
    <row r="129" s="170" customFormat="1"/>
    <row r="130" s="170" customFormat="1"/>
    <row r="131" s="170" customFormat="1"/>
    <row r="132" s="170" customFormat="1"/>
    <row r="133" s="170" customFormat="1"/>
    <row r="134" s="170" customFormat="1"/>
    <row r="135" s="170" customFormat="1"/>
    <row r="136" s="170" customFormat="1"/>
    <row r="137" s="170" customFormat="1"/>
    <row r="138" s="170" customFormat="1"/>
    <row r="139" s="170" customFormat="1"/>
    <row r="140" s="170" customFormat="1"/>
    <row r="141" s="170" customFormat="1"/>
    <row r="142" s="170" customFormat="1"/>
    <row r="143" s="170" customFormat="1"/>
    <row r="144" s="170" customFormat="1"/>
    <row r="145" s="170" customFormat="1"/>
    <row r="146" s="170" customFormat="1"/>
    <row r="147" s="170" customFormat="1"/>
    <row r="148" s="170" customFormat="1"/>
    <row r="149" s="170" customFormat="1"/>
    <row r="150" s="170" customFormat="1"/>
    <row r="151" s="170" customFormat="1"/>
    <row r="152" s="170" customFormat="1"/>
    <row r="153" s="170" customFormat="1"/>
    <row r="154" s="170" customFormat="1"/>
    <row r="155" s="170" customFormat="1"/>
    <row r="156" s="170" customFormat="1"/>
    <row r="157" s="170" customFormat="1"/>
    <row r="158" s="170" customFormat="1"/>
    <row r="159" s="170" customFormat="1"/>
    <row r="160" s="170" customFormat="1"/>
    <row r="161" spans="1:22" s="170" customFormat="1"/>
    <row r="162" spans="1:22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</row>
    <row r="163" spans="1:22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</row>
    <row r="164" spans="1:22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</row>
    <row r="165" spans="1:22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</row>
    <row r="166" spans="1:22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</row>
    <row r="167" spans="1:22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</row>
    <row r="168" spans="1:22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</row>
    <row r="169" spans="1:22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</row>
    <row r="170" spans="1:22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</row>
    <row r="171" spans="1:22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</row>
    <row r="172" spans="1:22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</row>
    <row r="173" spans="1:22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0">
    <mergeCell ref="V3:V5"/>
    <mergeCell ref="U2:V2"/>
    <mergeCell ref="T1:V1"/>
    <mergeCell ref="H3:J3"/>
    <mergeCell ref="N3:N4"/>
    <mergeCell ref="P3:P4"/>
    <mergeCell ref="H53:K53"/>
    <mergeCell ref="H51:K51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1:G51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0"/>
  <sheetViews>
    <sheetView zoomScale="160" zoomScaleNormal="160" workbookViewId="0">
      <pane xSplit="1" ySplit="5" topLeftCell="B33" activePane="bottomRight" state="frozen"/>
      <selection activeCell="F85" sqref="F85"/>
      <selection pane="topRight" activeCell="F85" sqref="F85"/>
      <selection pane="bottomLeft" activeCell="F85" sqref="F85"/>
      <selection pane="bottomRight" activeCell="H47" sqref="H47"/>
    </sheetView>
  </sheetViews>
  <sheetFormatPr defaultRowHeight="12.75"/>
  <cols>
    <col min="1" max="1" width="7.85546875" style="1257" customWidth="1"/>
    <col min="2" max="2" width="8.28515625" style="1257" customWidth="1"/>
    <col min="3" max="3" width="9.42578125" style="1257" customWidth="1"/>
    <col min="4" max="4" width="9.140625" style="1257"/>
    <col min="5" max="6" width="8.28515625" style="1257" customWidth="1"/>
    <col min="7" max="7" width="9.140625" style="1257"/>
    <col min="8" max="8" width="8.5703125" style="1257" customWidth="1"/>
    <col min="9" max="9" width="9.85546875" style="1257" customWidth="1"/>
    <col min="10" max="16384" width="9.140625" style="1257"/>
  </cols>
  <sheetData>
    <row r="1" spans="1:9" ht="15.75" customHeight="1">
      <c r="A1" s="2172" t="s">
        <v>1326</v>
      </c>
      <c r="B1" s="2172"/>
      <c r="C1" s="2172"/>
      <c r="D1" s="2172"/>
      <c r="E1" s="2172"/>
      <c r="F1" s="2172"/>
      <c r="G1" s="2172"/>
      <c r="H1" s="153"/>
      <c r="I1" s="154" t="s">
        <v>319</v>
      </c>
    </row>
    <row r="2" spans="1:9" ht="15" customHeight="1">
      <c r="A2" s="2172"/>
      <c r="B2" s="2172"/>
      <c r="C2" s="2172"/>
      <c r="D2" s="2172"/>
      <c r="E2" s="2172"/>
      <c r="F2" s="2172"/>
      <c r="G2" s="2172"/>
      <c r="H2" s="153"/>
    </row>
    <row r="3" spans="1:9" ht="10.5" customHeight="1">
      <c r="A3" s="1146"/>
      <c r="B3" s="1147"/>
      <c r="C3" s="1147"/>
      <c r="D3" s="1147"/>
      <c r="F3" s="1046"/>
      <c r="H3" s="2173" t="s">
        <v>0</v>
      </c>
      <c r="I3" s="2173"/>
    </row>
    <row r="4" spans="1:9" s="155" customFormat="1" ht="12.95" customHeight="1">
      <c r="A4" s="2174" t="s">
        <v>498</v>
      </c>
      <c r="B4" s="2176" t="s">
        <v>338</v>
      </c>
      <c r="C4" s="2177"/>
      <c r="D4" s="2177"/>
      <c r="E4" s="2178"/>
      <c r="F4" s="2176" t="s">
        <v>339</v>
      </c>
      <c r="G4" s="2177"/>
      <c r="H4" s="2177"/>
      <c r="I4" s="2178"/>
    </row>
    <row r="5" spans="1:9" ht="36">
      <c r="A5" s="2175"/>
      <c r="B5" s="1047" t="s">
        <v>809</v>
      </c>
      <c r="C5" s="1047" t="s">
        <v>829</v>
      </c>
      <c r="D5" s="1047" t="s">
        <v>831</v>
      </c>
      <c r="E5" s="869" t="s">
        <v>340</v>
      </c>
      <c r="F5" s="1047" t="s">
        <v>810</v>
      </c>
      <c r="G5" s="1047" t="s">
        <v>832</v>
      </c>
      <c r="H5" s="1047" t="s">
        <v>830</v>
      </c>
      <c r="I5" s="869" t="s">
        <v>341</v>
      </c>
    </row>
    <row r="6" spans="1:9" s="54" customFormat="1" ht="11.85" customHeight="1">
      <c r="A6" s="331" t="s">
        <v>81</v>
      </c>
      <c r="B6" s="925">
        <v>515.14</v>
      </c>
      <c r="C6" s="925">
        <v>331.1</v>
      </c>
      <c r="D6" s="925">
        <v>66.78</v>
      </c>
      <c r="E6" s="925">
        <v>913.02</v>
      </c>
      <c r="F6" s="925">
        <v>5014.96</v>
      </c>
      <c r="G6" s="925">
        <v>544.21</v>
      </c>
      <c r="H6" s="925">
        <v>410.29</v>
      </c>
      <c r="I6" s="927">
        <v>5969.46</v>
      </c>
    </row>
    <row r="7" spans="1:9" s="44" customFormat="1" ht="11.85" customHeight="1">
      <c r="A7" s="158" t="s">
        <v>192</v>
      </c>
      <c r="B7" s="929">
        <v>249.95</v>
      </c>
      <c r="C7" s="929">
        <v>445.19</v>
      </c>
      <c r="D7" s="929">
        <v>83.9</v>
      </c>
      <c r="E7" s="923">
        <v>779.04</v>
      </c>
      <c r="F7" s="929">
        <v>5143.7</v>
      </c>
      <c r="G7" s="929">
        <v>612.69000000000005</v>
      </c>
      <c r="H7" s="929">
        <v>462.67</v>
      </c>
      <c r="I7" s="924">
        <v>6219.0599999999995</v>
      </c>
    </row>
    <row r="8" spans="1:9" s="44" customFormat="1" ht="11.85" customHeight="1">
      <c r="A8" s="331" t="s">
        <v>757</v>
      </c>
      <c r="B8" s="925">
        <v>454.09999999999997</v>
      </c>
      <c r="C8" s="925">
        <v>542.34999999999991</v>
      </c>
      <c r="D8" s="925">
        <v>198.42999999999998</v>
      </c>
      <c r="E8" s="925">
        <v>1194.8799999999999</v>
      </c>
      <c r="F8" s="925">
        <v>4855.47</v>
      </c>
      <c r="G8" s="925">
        <v>861.44</v>
      </c>
      <c r="H8" s="925">
        <v>533.95000000000005</v>
      </c>
      <c r="I8" s="927">
        <v>6250.86</v>
      </c>
    </row>
    <row r="9" spans="1:9" s="44" customFormat="1" ht="11.85" customHeight="1">
      <c r="A9" s="590" t="s">
        <v>866</v>
      </c>
      <c r="B9" s="929">
        <v>761.03</v>
      </c>
      <c r="C9" s="929">
        <v>645.64</v>
      </c>
      <c r="D9" s="929">
        <v>323.96000000000004</v>
      </c>
      <c r="E9" s="923">
        <v>1730.63</v>
      </c>
      <c r="F9" s="929">
        <v>6333.41</v>
      </c>
      <c r="G9" s="929">
        <v>995.87</v>
      </c>
      <c r="H9" s="929">
        <v>1033.78</v>
      </c>
      <c r="I9" s="924">
        <v>8363.06</v>
      </c>
    </row>
    <row r="10" spans="1:9" s="44" customFormat="1" ht="11.85" customHeight="1">
      <c r="A10" s="331" t="s">
        <v>1051</v>
      </c>
      <c r="B10" s="925">
        <v>233.83999999999997</v>
      </c>
      <c r="C10" s="925">
        <v>795.78</v>
      </c>
      <c r="D10" s="925">
        <v>450.71999999999997</v>
      </c>
      <c r="E10" s="925">
        <v>1480.34</v>
      </c>
      <c r="F10" s="925">
        <v>6375.35</v>
      </c>
      <c r="G10" s="925">
        <v>964.83</v>
      </c>
      <c r="H10" s="925">
        <v>2000.05</v>
      </c>
      <c r="I10" s="927">
        <v>9340.23</v>
      </c>
    </row>
    <row r="11" spans="1:9" s="44" customFormat="1" ht="11.85" customHeight="1">
      <c r="A11" s="590" t="s">
        <v>1105</v>
      </c>
      <c r="B11" s="929">
        <v>528.03</v>
      </c>
      <c r="C11" s="929">
        <v>1141.3400000000001</v>
      </c>
      <c r="D11" s="929">
        <v>164.5</v>
      </c>
      <c r="E11" s="923">
        <v>1833.8700000000001</v>
      </c>
      <c r="F11" s="262">
        <v>9027.07</v>
      </c>
      <c r="G11" s="262">
        <v>1326.11</v>
      </c>
      <c r="H11" s="262">
        <v>2147.9499999999998</v>
      </c>
      <c r="I11" s="262">
        <v>12501.130000000001</v>
      </c>
    </row>
    <row r="12" spans="1:9" s="44" customFormat="1" ht="11.85" customHeight="1">
      <c r="A12" s="633" t="s">
        <v>1231</v>
      </c>
      <c r="B12" s="930">
        <v>505.55</v>
      </c>
      <c r="C12" s="930">
        <v>1154.4499999999998</v>
      </c>
      <c r="D12" s="930">
        <v>343.53</v>
      </c>
      <c r="E12" s="930">
        <v>2003.5299999999997</v>
      </c>
      <c r="F12" s="500">
        <v>9549.39</v>
      </c>
      <c r="G12" s="500">
        <v>1585.21</v>
      </c>
      <c r="H12" s="500">
        <v>2311.54</v>
      </c>
      <c r="I12" s="500">
        <v>13446.14</v>
      </c>
    </row>
    <row r="13" spans="1:9" s="44" customFormat="1" ht="11.85" customHeight="1">
      <c r="A13" s="248" t="s">
        <v>1263</v>
      </c>
      <c r="B13" s="928">
        <f>B14+B15+B16+B17</f>
        <v>1006.74</v>
      </c>
      <c r="C13" s="928">
        <f t="shared" ref="C13:E13" si="0">C14+C15+C16+C17</f>
        <v>1253</v>
      </c>
      <c r="D13" s="928">
        <f t="shared" si="0"/>
        <v>195.07</v>
      </c>
      <c r="E13" s="928">
        <f t="shared" si="0"/>
        <v>2454.81</v>
      </c>
      <c r="F13" s="501">
        <f>F17</f>
        <v>9527.51</v>
      </c>
      <c r="G13" s="501">
        <f>G17</f>
        <v>2699.93</v>
      </c>
      <c r="H13" s="501">
        <f>H17</f>
        <v>2239.13</v>
      </c>
      <c r="I13" s="932">
        <f t="shared" ref="I13" si="1">SUM(F13:H13)</f>
        <v>14466.57</v>
      </c>
    </row>
    <row r="14" spans="1:9" s="44" customFormat="1" ht="11.85" customHeight="1">
      <c r="A14" s="622" t="s">
        <v>1244</v>
      </c>
      <c r="B14" s="925">
        <v>258.52</v>
      </c>
      <c r="C14" s="925">
        <v>294.55</v>
      </c>
      <c r="D14" s="925">
        <v>60.92</v>
      </c>
      <c r="E14" s="925">
        <f t="shared" ref="E14:E41" si="2">SUM(B14:D14)</f>
        <v>613.9899999999999</v>
      </c>
      <c r="F14" s="336">
        <v>9846.48</v>
      </c>
      <c r="G14" s="336">
        <v>1517.16</v>
      </c>
      <c r="H14" s="336">
        <v>2430.59</v>
      </c>
      <c r="I14" s="926">
        <f>SUM(F14:H14)</f>
        <v>13794.23</v>
      </c>
    </row>
    <row r="15" spans="1:9" s="44" customFormat="1" ht="11.85" customHeight="1">
      <c r="A15" s="249" t="s">
        <v>1368</v>
      </c>
      <c r="B15" s="929">
        <v>486.18</v>
      </c>
      <c r="C15" s="929">
        <v>315.48</v>
      </c>
      <c r="D15" s="929">
        <v>52.07</v>
      </c>
      <c r="E15" s="929">
        <f t="shared" si="2"/>
        <v>853.73000000000013</v>
      </c>
      <c r="F15" s="262">
        <v>10735.38</v>
      </c>
      <c r="G15" s="262">
        <v>1640.2</v>
      </c>
      <c r="H15" s="262">
        <v>2163.7399999999998</v>
      </c>
      <c r="I15" s="924">
        <f>SUM(F15:H15)</f>
        <v>14539.32</v>
      </c>
    </row>
    <row r="16" spans="1:9" s="44" customFormat="1" ht="11.85" customHeight="1">
      <c r="A16" s="622" t="s">
        <v>1242</v>
      </c>
      <c r="B16" s="925">
        <v>140.35</v>
      </c>
      <c r="C16" s="925">
        <v>319.3</v>
      </c>
      <c r="D16" s="925">
        <v>36.19</v>
      </c>
      <c r="E16" s="925">
        <f t="shared" si="2"/>
        <v>495.84</v>
      </c>
      <c r="F16" s="336">
        <v>9528.91</v>
      </c>
      <c r="G16" s="336">
        <v>2705.15</v>
      </c>
      <c r="H16" s="336">
        <v>2144.1</v>
      </c>
      <c r="I16" s="925">
        <f>SUM(F16:H16)</f>
        <v>14378.16</v>
      </c>
    </row>
    <row r="17" spans="1:11" s="44" customFormat="1" ht="11.85" customHeight="1">
      <c r="A17" s="249" t="s">
        <v>1243</v>
      </c>
      <c r="B17" s="929">
        <v>121.69</v>
      </c>
      <c r="C17" s="929">
        <v>323.67</v>
      </c>
      <c r="D17" s="929">
        <v>45.89</v>
      </c>
      <c r="E17" s="929">
        <f t="shared" si="2"/>
        <v>491.25</v>
      </c>
      <c r="F17" s="262">
        <v>9527.51</v>
      </c>
      <c r="G17" s="262">
        <v>2699.93</v>
      </c>
      <c r="H17" s="262">
        <v>2239.13</v>
      </c>
      <c r="I17" s="929">
        <f>SUM(F17:H17)</f>
        <v>14466.57</v>
      </c>
    </row>
    <row r="18" spans="1:11" s="44" customFormat="1" ht="11.85" customHeight="1">
      <c r="A18" s="330" t="s">
        <v>1392</v>
      </c>
      <c r="B18" s="930">
        <f>B19+B20+B21+B22</f>
        <v>614.76</v>
      </c>
      <c r="C18" s="930">
        <f t="shared" ref="C18:E18" si="3">C19+C20+C21+C22</f>
        <v>1253.44</v>
      </c>
      <c r="D18" s="930">
        <f t="shared" si="3"/>
        <v>712.24</v>
      </c>
      <c r="E18" s="930">
        <f t="shared" si="3"/>
        <v>2580.4399999999996</v>
      </c>
      <c r="F18" s="500">
        <f>F22</f>
        <v>9895.7800000000007</v>
      </c>
      <c r="G18" s="500">
        <f>G22</f>
        <v>3080.35</v>
      </c>
      <c r="H18" s="500">
        <f>H22</f>
        <v>2815.21</v>
      </c>
      <c r="I18" s="931">
        <f t="shared" ref="I18" si="4">SUM(F18:H18)</f>
        <v>15791.34</v>
      </c>
    </row>
    <row r="19" spans="1:11" s="414" customFormat="1" ht="11.85" customHeight="1">
      <c r="A19" s="249" t="s">
        <v>1244</v>
      </c>
      <c r="B19" s="929">
        <v>154.41</v>
      </c>
      <c r="C19" s="929">
        <v>291.88</v>
      </c>
      <c r="D19" s="929">
        <v>60.86</v>
      </c>
      <c r="E19" s="929">
        <f t="shared" si="2"/>
        <v>507.15</v>
      </c>
      <c r="F19" s="262">
        <v>9696.59</v>
      </c>
      <c r="G19" s="262">
        <v>2787.24</v>
      </c>
      <c r="H19" s="262">
        <v>2263.13</v>
      </c>
      <c r="I19" s="262">
        <f>SUM(F19:H19)</f>
        <v>14746.96</v>
      </c>
    </row>
    <row r="20" spans="1:11" s="414" customFormat="1" ht="11.85" customHeight="1">
      <c r="A20" s="622" t="s">
        <v>1368</v>
      </c>
      <c r="B20" s="925">
        <v>122.45</v>
      </c>
      <c r="C20" s="925">
        <v>344.57</v>
      </c>
      <c r="D20" s="925">
        <v>190.3</v>
      </c>
      <c r="E20" s="925">
        <f t="shared" si="2"/>
        <v>657.31999999999994</v>
      </c>
      <c r="F20" s="336">
        <v>9601.6299999999992</v>
      </c>
      <c r="G20" s="336">
        <v>2697.3</v>
      </c>
      <c r="H20" s="336">
        <v>2258.29</v>
      </c>
      <c r="I20" s="336">
        <f>SUM(F20:H20)</f>
        <v>14557.220000000001</v>
      </c>
    </row>
    <row r="21" spans="1:11" s="414" customFormat="1" ht="11.85" customHeight="1">
      <c r="A21" s="249" t="s">
        <v>1242</v>
      </c>
      <c r="B21" s="262">
        <v>111.22</v>
      </c>
      <c r="C21" s="262">
        <v>324.95999999999998</v>
      </c>
      <c r="D21" s="262">
        <v>67.599999999999994</v>
      </c>
      <c r="E21" s="262">
        <f t="shared" si="2"/>
        <v>503.78</v>
      </c>
      <c r="F21" s="262">
        <v>9470.5</v>
      </c>
      <c r="G21" s="262">
        <v>2885.89</v>
      </c>
      <c r="H21" s="262">
        <v>2283.5</v>
      </c>
      <c r="I21" s="262">
        <f>SUM(F21:H21)</f>
        <v>14639.89</v>
      </c>
    </row>
    <row r="22" spans="1:11" s="414" customFormat="1" ht="11.85" customHeight="1">
      <c r="A22" s="622" t="s">
        <v>1243</v>
      </c>
      <c r="B22" s="336">
        <v>226.68</v>
      </c>
      <c r="C22" s="336">
        <v>292.02999999999997</v>
      </c>
      <c r="D22" s="336">
        <v>393.48</v>
      </c>
      <c r="E22" s="336">
        <f t="shared" si="2"/>
        <v>912.19</v>
      </c>
      <c r="F22" s="336">
        <v>9895.7800000000007</v>
      </c>
      <c r="G22" s="336">
        <v>3080.35</v>
      </c>
      <c r="H22" s="336">
        <v>2815.21</v>
      </c>
      <c r="I22" s="336">
        <f>SUM(F22:H22)</f>
        <v>15791.34</v>
      </c>
    </row>
    <row r="23" spans="1:11" s="414" customFormat="1" ht="11.85" customHeight="1">
      <c r="A23" s="806" t="s">
        <v>1511</v>
      </c>
      <c r="B23" s="928">
        <f>B24+B25+B26+B27</f>
        <v>1195.2</v>
      </c>
      <c r="C23" s="928">
        <f t="shared" ref="C23:E23" si="5">C24+C25+C26+C27</f>
        <v>1363.4599999999998</v>
      </c>
      <c r="D23" s="928">
        <f t="shared" si="5"/>
        <v>1330.33</v>
      </c>
      <c r="E23" s="928">
        <f t="shared" si="5"/>
        <v>3888.99</v>
      </c>
      <c r="F23" s="501">
        <f>F27</f>
        <v>11775.91</v>
      </c>
      <c r="G23" s="501">
        <f>G27</f>
        <v>3021.77</v>
      </c>
      <c r="H23" s="501">
        <f>H27</f>
        <v>3882.53</v>
      </c>
      <c r="I23" s="932">
        <f t="shared" ref="I23" si="6">SUM(F23:H23)</f>
        <v>18680.21</v>
      </c>
    </row>
    <row r="24" spans="1:11" s="414" customFormat="1" ht="11.85" customHeight="1">
      <c r="A24" s="622" t="s">
        <v>1244</v>
      </c>
      <c r="B24" s="336">
        <v>267.47000000000003</v>
      </c>
      <c r="C24" s="336">
        <v>311.27999999999997</v>
      </c>
      <c r="D24" s="336">
        <v>270.87</v>
      </c>
      <c r="E24" s="336">
        <f t="shared" si="2"/>
        <v>849.62</v>
      </c>
      <c r="F24" s="336">
        <v>10364.040000000001</v>
      </c>
      <c r="G24" s="336">
        <v>3076.04</v>
      </c>
      <c r="H24" s="336">
        <v>3202.41</v>
      </c>
      <c r="I24" s="336">
        <f>SUM(F24:H24)</f>
        <v>16642.490000000002</v>
      </c>
    </row>
    <row r="25" spans="1:11" s="414" customFormat="1" ht="11.85" customHeight="1">
      <c r="A25" s="249" t="s">
        <v>1368</v>
      </c>
      <c r="B25" s="262">
        <v>518.76</v>
      </c>
      <c r="C25" s="262">
        <v>380.84</v>
      </c>
      <c r="D25" s="262">
        <v>448.11</v>
      </c>
      <c r="E25" s="262">
        <f t="shared" si="2"/>
        <v>1347.71</v>
      </c>
      <c r="F25" s="262">
        <v>10865.73</v>
      </c>
      <c r="G25" s="262">
        <v>2721.98</v>
      </c>
      <c r="H25" s="262">
        <v>3473.92</v>
      </c>
      <c r="I25" s="262">
        <f>SUM(F25:H25)</f>
        <v>17061.629999999997</v>
      </c>
    </row>
    <row r="26" spans="1:11" s="414" customFormat="1" ht="11.85" customHeight="1">
      <c r="A26" s="622" t="s">
        <v>1242</v>
      </c>
      <c r="B26" s="336">
        <v>191.01</v>
      </c>
      <c r="C26" s="336">
        <v>364.82</v>
      </c>
      <c r="D26" s="336">
        <v>479.73</v>
      </c>
      <c r="E26" s="336">
        <f t="shared" si="2"/>
        <v>1035.56</v>
      </c>
      <c r="F26" s="336">
        <v>11588.82</v>
      </c>
      <c r="G26" s="336">
        <v>2880.06</v>
      </c>
      <c r="H26" s="336">
        <v>3716.13</v>
      </c>
      <c r="I26" s="336">
        <f t="shared" ref="I26:I41" si="7">SUM(F26:H26)</f>
        <v>18185.009999999998</v>
      </c>
    </row>
    <row r="27" spans="1:11" s="414" customFormat="1" ht="11.85" customHeight="1">
      <c r="A27" s="249" t="s">
        <v>1243</v>
      </c>
      <c r="B27" s="262">
        <v>217.96</v>
      </c>
      <c r="C27" s="262">
        <v>306.52</v>
      </c>
      <c r="D27" s="262">
        <v>131.62</v>
      </c>
      <c r="E27" s="262">
        <f t="shared" si="2"/>
        <v>656.1</v>
      </c>
      <c r="F27" s="262">
        <v>11775.91</v>
      </c>
      <c r="G27" s="262">
        <v>3021.77</v>
      </c>
      <c r="H27" s="262">
        <v>3882.53</v>
      </c>
      <c r="I27" s="262">
        <f t="shared" si="7"/>
        <v>18680.21</v>
      </c>
    </row>
    <row r="28" spans="1:11" s="414" customFormat="1" ht="11.85" customHeight="1">
      <c r="A28" s="633" t="s">
        <v>1602</v>
      </c>
      <c r="B28" s="930">
        <f>B29+B30+B31+B32</f>
        <v>727.93000000000006</v>
      </c>
      <c r="C28" s="930">
        <f t="shared" ref="C28:E28" si="8">C29+C30+C31+C32</f>
        <v>1510.0900000000001</v>
      </c>
      <c r="D28" s="930">
        <f t="shared" si="8"/>
        <v>132.43</v>
      </c>
      <c r="E28" s="930">
        <f t="shared" si="8"/>
        <v>2370.4499999999998</v>
      </c>
      <c r="F28" s="500">
        <f>F32</f>
        <v>12558.23</v>
      </c>
      <c r="G28" s="500">
        <f>G32</f>
        <v>3224.42</v>
      </c>
      <c r="H28" s="500">
        <f>H32</f>
        <v>2939.04</v>
      </c>
      <c r="I28" s="931">
        <f t="shared" si="7"/>
        <v>18721.689999999999</v>
      </c>
    </row>
    <row r="29" spans="1:11" s="414" customFormat="1" ht="11.85" customHeight="1">
      <c r="A29" s="249" t="s">
        <v>1244</v>
      </c>
      <c r="B29" s="262">
        <v>193.82</v>
      </c>
      <c r="C29" s="262">
        <v>328.44</v>
      </c>
      <c r="D29" s="262">
        <v>-60.06</v>
      </c>
      <c r="E29" s="262">
        <f t="shared" si="2"/>
        <v>462.2</v>
      </c>
      <c r="F29" s="262">
        <v>11892.25</v>
      </c>
      <c r="G29" s="262">
        <v>2954.37</v>
      </c>
      <c r="H29" s="262">
        <v>2464.1799999999998</v>
      </c>
      <c r="I29" s="262">
        <f t="shared" si="7"/>
        <v>17310.8</v>
      </c>
      <c r="K29" s="890"/>
    </row>
    <row r="30" spans="1:11" s="414" customFormat="1" ht="11.85" customHeight="1">
      <c r="A30" s="622" t="s">
        <v>1368</v>
      </c>
      <c r="B30" s="336">
        <v>200.91</v>
      </c>
      <c r="C30" s="336">
        <v>467.57</v>
      </c>
      <c r="D30" s="336">
        <v>51.61</v>
      </c>
      <c r="E30" s="336">
        <f t="shared" si="2"/>
        <v>720.09</v>
      </c>
      <c r="F30" s="336">
        <v>12220.87</v>
      </c>
      <c r="G30" s="336">
        <v>3011.48</v>
      </c>
      <c r="H30" s="336">
        <v>2552.63</v>
      </c>
      <c r="I30" s="336">
        <f t="shared" si="7"/>
        <v>17784.98</v>
      </c>
    </row>
    <row r="31" spans="1:11" s="414" customFormat="1" ht="11.85" customHeight="1">
      <c r="A31" s="249" t="s">
        <v>1242</v>
      </c>
      <c r="B31" s="262">
        <v>178.98</v>
      </c>
      <c r="C31" s="262">
        <v>410.93</v>
      </c>
      <c r="D31" s="262">
        <v>-7.74</v>
      </c>
      <c r="E31" s="262">
        <f t="shared" si="2"/>
        <v>582.16999999999996</v>
      </c>
      <c r="F31" s="262">
        <v>12389.63</v>
      </c>
      <c r="G31" s="262">
        <v>3411.16</v>
      </c>
      <c r="H31" s="262">
        <v>3058.03</v>
      </c>
      <c r="I31" s="262">
        <f t="shared" si="7"/>
        <v>18858.82</v>
      </c>
    </row>
    <row r="32" spans="1:11" s="414" customFormat="1" ht="11.85" customHeight="1">
      <c r="A32" s="622" t="s">
        <v>1243</v>
      </c>
      <c r="B32" s="336">
        <v>154.22</v>
      </c>
      <c r="C32" s="336">
        <v>303.14999999999998</v>
      </c>
      <c r="D32" s="336">
        <v>148.62</v>
      </c>
      <c r="E32" s="336">
        <f t="shared" si="2"/>
        <v>605.99</v>
      </c>
      <c r="F32" s="336">
        <v>12558.23</v>
      </c>
      <c r="G32" s="336">
        <v>3224.42</v>
      </c>
      <c r="H32" s="336">
        <v>2939.04</v>
      </c>
      <c r="I32" s="336">
        <f t="shared" si="7"/>
        <v>18721.689999999999</v>
      </c>
    </row>
    <row r="33" spans="1:11" s="414" customFormat="1" ht="11.85" customHeight="1">
      <c r="A33" s="806" t="s">
        <v>1668</v>
      </c>
      <c r="B33" s="928">
        <f>B34+B35+B36+B37</f>
        <v>816.17000000000007</v>
      </c>
      <c r="C33" s="928">
        <f t="shared" ref="C33:E33" si="9">C34+C35+C36+C37</f>
        <v>1585.9399999999998</v>
      </c>
      <c r="D33" s="928">
        <f t="shared" si="9"/>
        <v>105.2</v>
      </c>
      <c r="E33" s="928">
        <f t="shared" si="9"/>
        <v>2507.3100000000004</v>
      </c>
      <c r="F33" s="501">
        <f>F37</f>
        <v>13702.51</v>
      </c>
      <c r="G33" s="501">
        <f>G37</f>
        <v>3482.78</v>
      </c>
      <c r="H33" s="501">
        <f>H37</f>
        <v>2761.3</v>
      </c>
      <c r="I33" s="932">
        <f t="shared" si="7"/>
        <v>19946.59</v>
      </c>
    </row>
    <row r="34" spans="1:11" s="414" customFormat="1" ht="11.85" customHeight="1">
      <c r="A34" s="622" t="s">
        <v>1244</v>
      </c>
      <c r="B34" s="336">
        <v>138.72</v>
      </c>
      <c r="C34" s="336">
        <v>405.51</v>
      </c>
      <c r="D34" s="336">
        <v>3.33</v>
      </c>
      <c r="E34" s="336">
        <f t="shared" si="2"/>
        <v>547.56000000000006</v>
      </c>
      <c r="F34" s="336">
        <v>12744.5</v>
      </c>
      <c r="G34" s="336">
        <v>3258.61</v>
      </c>
      <c r="H34" s="336">
        <v>2654.37</v>
      </c>
      <c r="I34" s="336">
        <f t="shared" si="7"/>
        <v>18657.48</v>
      </c>
      <c r="K34" s="890"/>
    </row>
    <row r="35" spans="1:11" s="414" customFormat="1" ht="11.85" customHeight="1">
      <c r="A35" s="249" t="s">
        <v>1368</v>
      </c>
      <c r="B35" s="262">
        <v>370.37</v>
      </c>
      <c r="C35" s="262">
        <v>446.53</v>
      </c>
      <c r="D35" s="262">
        <v>10.96</v>
      </c>
      <c r="E35" s="262">
        <f t="shared" si="2"/>
        <v>827.86</v>
      </c>
      <c r="F35" s="262">
        <v>13229.07</v>
      </c>
      <c r="G35" s="262">
        <v>3325.36</v>
      </c>
      <c r="H35" s="262">
        <v>2840.33</v>
      </c>
      <c r="I35" s="262">
        <f t="shared" si="7"/>
        <v>19394.760000000002</v>
      </c>
    </row>
    <row r="36" spans="1:11" s="414" customFormat="1" ht="11.85" customHeight="1">
      <c r="A36" s="622" t="s">
        <v>1242</v>
      </c>
      <c r="B36" s="336">
        <v>140.47</v>
      </c>
      <c r="C36" s="336">
        <v>380.81</v>
      </c>
      <c r="D36" s="336">
        <v>70.47</v>
      </c>
      <c r="E36" s="336">
        <f t="shared" si="2"/>
        <v>591.75</v>
      </c>
      <c r="F36" s="336">
        <v>13921.17</v>
      </c>
      <c r="G36" s="336">
        <v>3344.12</v>
      </c>
      <c r="H36" s="336">
        <v>2804.56</v>
      </c>
      <c r="I36" s="336">
        <f t="shared" si="7"/>
        <v>20069.850000000002</v>
      </c>
    </row>
    <row r="37" spans="1:11" s="414" customFormat="1" ht="11.85" customHeight="1">
      <c r="A37" s="249" t="s">
        <v>1243</v>
      </c>
      <c r="B37" s="262">
        <v>166.61</v>
      </c>
      <c r="C37" s="262">
        <v>353.09</v>
      </c>
      <c r="D37" s="262">
        <v>20.440000000000001</v>
      </c>
      <c r="E37" s="262">
        <f t="shared" si="2"/>
        <v>540.1400000000001</v>
      </c>
      <c r="F37" s="262">
        <v>13702.51</v>
      </c>
      <c r="G37" s="262">
        <v>3482.78</v>
      </c>
      <c r="H37" s="262">
        <v>2761.3</v>
      </c>
      <c r="I37" s="262">
        <f t="shared" si="7"/>
        <v>19946.59</v>
      </c>
    </row>
    <row r="38" spans="1:11" s="414" customFormat="1" ht="11.85" customHeight="1">
      <c r="A38" s="633" t="s">
        <v>2018</v>
      </c>
      <c r="B38" s="930">
        <f>B39+B40+B41+B42</f>
        <v>1346.94</v>
      </c>
      <c r="C38" s="930">
        <f t="shared" ref="C38:E38" si="10">C39+C40+C41+C42</f>
        <v>2044.79</v>
      </c>
      <c r="D38" s="930">
        <f t="shared" si="10"/>
        <v>47.900000000000013</v>
      </c>
      <c r="E38" s="930">
        <f t="shared" si="10"/>
        <v>3439.63</v>
      </c>
      <c r="F38" s="500">
        <f>F42</f>
        <v>13937.85</v>
      </c>
      <c r="G38" s="500">
        <f>G42</f>
        <v>3695.49</v>
      </c>
      <c r="H38" s="500">
        <f>H42</f>
        <v>2870.2</v>
      </c>
      <c r="I38" s="931">
        <f t="shared" ref="I38" si="11">SUM(F38:H38)</f>
        <v>20503.54</v>
      </c>
    </row>
    <row r="39" spans="1:11" s="414" customFormat="1" ht="11.85" customHeight="1">
      <c r="A39" s="1258" t="s">
        <v>1244</v>
      </c>
      <c r="B39" s="262">
        <v>287.10000000000002</v>
      </c>
      <c r="C39" s="262">
        <v>383.75</v>
      </c>
      <c r="D39" s="262">
        <v>0.65</v>
      </c>
      <c r="E39" s="262">
        <f t="shared" si="2"/>
        <v>671.5</v>
      </c>
      <c r="F39" s="262">
        <v>13974.05</v>
      </c>
      <c r="G39" s="262">
        <v>4214.03</v>
      </c>
      <c r="H39" s="262">
        <v>2683.84</v>
      </c>
      <c r="I39" s="262">
        <f t="shared" si="7"/>
        <v>20871.919999999998</v>
      </c>
    </row>
    <row r="40" spans="1:11" s="414" customFormat="1" ht="11.85" customHeight="1">
      <c r="A40" s="1314" t="s">
        <v>1368</v>
      </c>
      <c r="B40" s="336">
        <v>544.52</v>
      </c>
      <c r="C40" s="336">
        <v>444.62</v>
      </c>
      <c r="D40" s="336">
        <v>103.03</v>
      </c>
      <c r="E40" s="336">
        <f t="shared" si="2"/>
        <v>1092.17</v>
      </c>
      <c r="F40" s="336">
        <v>14601.09</v>
      </c>
      <c r="G40" s="336">
        <v>4116.68</v>
      </c>
      <c r="H40" s="336">
        <v>2864.09</v>
      </c>
      <c r="I40" s="336">
        <f t="shared" si="7"/>
        <v>21581.86</v>
      </c>
    </row>
    <row r="41" spans="1:11" s="414" customFormat="1" ht="11.85" customHeight="1">
      <c r="A41" s="1258" t="s">
        <v>1242</v>
      </c>
      <c r="B41" s="262">
        <v>288.33</v>
      </c>
      <c r="C41" s="262">
        <v>613.53</v>
      </c>
      <c r="D41" s="262">
        <v>-13.38</v>
      </c>
      <c r="E41" s="262">
        <f t="shared" si="2"/>
        <v>888.4799999999999</v>
      </c>
      <c r="F41" s="262">
        <v>14866.31</v>
      </c>
      <c r="G41" s="262">
        <v>4259.28</v>
      </c>
      <c r="H41" s="262">
        <v>2961.53</v>
      </c>
      <c r="I41" s="262">
        <f t="shared" si="7"/>
        <v>22087.119999999999</v>
      </c>
    </row>
    <row r="42" spans="1:11" s="414" customFormat="1" ht="11.85" customHeight="1">
      <c r="A42" s="1314" t="s">
        <v>1243</v>
      </c>
      <c r="B42" s="336">
        <v>226.99</v>
      </c>
      <c r="C42" s="336">
        <v>602.89</v>
      </c>
      <c r="D42" s="336">
        <v>-42.4</v>
      </c>
      <c r="E42" s="336">
        <f>SUM(B42:D42)</f>
        <v>787.48</v>
      </c>
      <c r="F42" s="336">
        <v>13937.85</v>
      </c>
      <c r="G42" s="336">
        <v>3695.49</v>
      </c>
      <c r="H42" s="336">
        <v>2870.2</v>
      </c>
      <c r="I42" s="336">
        <f t="shared" ref="I42:I49" si="12">SUM(F42:H42)</f>
        <v>20503.54</v>
      </c>
    </row>
    <row r="43" spans="1:11" s="414" customFormat="1" ht="11.85" customHeight="1">
      <c r="A43" s="806" t="s">
        <v>2299</v>
      </c>
      <c r="B43" s="928">
        <f>B44+B45+B46+B47</f>
        <v>795.93000000000006</v>
      </c>
      <c r="C43" s="928">
        <f>C44+C45+C46+C47</f>
        <v>2370.5500000000002</v>
      </c>
      <c r="D43" s="928">
        <f t="shared" ref="D43:E43" si="13">D44+D45+D46+D47</f>
        <v>28.68</v>
      </c>
      <c r="E43" s="928">
        <f t="shared" si="13"/>
        <v>3195.16</v>
      </c>
      <c r="F43" s="501">
        <f>F47</f>
        <v>13277.82</v>
      </c>
      <c r="G43" s="501">
        <f>G47</f>
        <v>4043.74</v>
      </c>
      <c r="H43" s="501">
        <f>H47</f>
        <v>4501.45</v>
      </c>
      <c r="I43" s="932">
        <f t="shared" si="12"/>
        <v>21823.01</v>
      </c>
    </row>
    <row r="44" spans="1:11" s="414" customFormat="1" ht="11.85" customHeight="1">
      <c r="A44" s="1314" t="s">
        <v>1244</v>
      </c>
      <c r="B44" s="336">
        <v>250.88</v>
      </c>
      <c r="C44" s="336">
        <v>754.15</v>
      </c>
      <c r="D44" s="336">
        <v>95.13</v>
      </c>
      <c r="E44" s="336">
        <f>SUM(B44:D44)</f>
        <v>1100.1599999999999</v>
      </c>
      <c r="F44" s="336">
        <v>13900.9</v>
      </c>
      <c r="G44" s="336">
        <v>3738.66</v>
      </c>
      <c r="H44" s="336">
        <v>3000.7</v>
      </c>
      <c r="I44" s="336">
        <f t="shared" si="12"/>
        <v>20640.259999999998</v>
      </c>
    </row>
    <row r="45" spans="1:11" s="414" customFormat="1" ht="11.85" customHeight="1">
      <c r="A45" s="1258" t="s">
        <v>1368</v>
      </c>
      <c r="B45" s="262">
        <v>256.43</v>
      </c>
      <c r="C45" s="262">
        <v>544.4</v>
      </c>
      <c r="D45" s="262">
        <v>-97</v>
      </c>
      <c r="E45" s="262">
        <f>SUM(B45:D45)</f>
        <v>703.82999999999993</v>
      </c>
      <c r="F45" s="262">
        <v>13838.82</v>
      </c>
      <c r="G45" s="262">
        <v>3984.22</v>
      </c>
      <c r="H45" s="262">
        <v>2932.06</v>
      </c>
      <c r="I45" s="262">
        <f t="shared" si="12"/>
        <v>20755.100000000002</v>
      </c>
    </row>
    <row r="46" spans="1:11" s="414" customFormat="1" ht="11.85" customHeight="1">
      <c r="A46" s="1314" t="s">
        <v>1242</v>
      </c>
      <c r="B46" s="336">
        <v>146.12</v>
      </c>
      <c r="C46" s="336">
        <v>530.22</v>
      </c>
      <c r="D46" s="336">
        <v>-49.87</v>
      </c>
      <c r="E46" s="336">
        <f>SUM(B46:D46)</f>
        <v>626.47</v>
      </c>
      <c r="F46" s="336">
        <v>13648.59</v>
      </c>
      <c r="G46" s="336">
        <v>4108.92</v>
      </c>
      <c r="H46" s="336">
        <v>2855.87</v>
      </c>
      <c r="I46" s="336">
        <f t="shared" si="12"/>
        <v>20613.38</v>
      </c>
    </row>
    <row r="47" spans="1:11" s="414" customFormat="1" ht="11.85" customHeight="1">
      <c r="A47" s="1735" t="s">
        <v>1243</v>
      </c>
      <c r="B47" s="262">
        <v>142.5</v>
      </c>
      <c r="C47" s="262">
        <v>541.78</v>
      </c>
      <c r="D47" s="262">
        <v>80.42</v>
      </c>
      <c r="E47" s="262">
        <f>SUM(B47:D47)</f>
        <v>764.69999999999993</v>
      </c>
      <c r="F47" s="262">
        <v>13277.82</v>
      </c>
      <c r="G47" s="262">
        <v>4043.74</v>
      </c>
      <c r="H47" s="262">
        <v>4501.45</v>
      </c>
      <c r="I47" s="262">
        <f t="shared" si="12"/>
        <v>21823.01</v>
      </c>
    </row>
    <row r="48" spans="1:11" s="414" customFormat="1" ht="11.85" customHeight="1">
      <c r="A48" s="633" t="s">
        <v>2515</v>
      </c>
      <c r="B48" s="336"/>
      <c r="C48" s="336"/>
      <c r="D48" s="336"/>
      <c r="E48" s="336"/>
      <c r="F48" s="336"/>
      <c r="G48" s="336"/>
      <c r="H48" s="336"/>
      <c r="I48" s="336"/>
    </row>
    <row r="49" spans="1:9" s="414" customFormat="1" ht="11.85" customHeight="1" thickBot="1">
      <c r="A49" s="1712" t="s">
        <v>1244</v>
      </c>
      <c r="B49" s="1711">
        <v>183.21</v>
      </c>
      <c r="C49" s="1711">
        <v>546.15</v>
      </c>
      <c r="D49" s="1711">
        <v>-59.15</v>
      </c>
      <c r="E49" s="1711">
        <f>SUM(B49:D49)</f>
        <v>670.21</v>
      </c>
      <c r="F49" s="1711">
        <v>13042.02</v>
      </c>
      <c r="G49" s="1711">
        <v>4141.4799999999996</v>
      </c>
      <c r="H49" s="1711">
        <v>2833.7</v>
      </c>
      <c r="I49" s="1711">
        <f t="shared" si="12"/>
        <v>20017.2</v>
      </c>
    </row>
    <row r="50" spans="1:9" s="231" customFormat="1" ht="11.25">
      <c r="A50" s="248" t="s">
        <v>609</v>
      </c>
      <c r="B50" s="2171" t="s">
        <v>2071</v>
      </c>
      <c r="C50" s="2171"/>
      <c r="D50" s="2171"/>
      <c r="E50" s="2171"/>
      <c r="F50" s="2171"/>
      <c r="G50" s="2171"/>
      <c r="H50" s="2171"/>
      <c r="I50" s="2171"/>
    </row>
    <row r="51" spans="1:9" s="156" customFormat="1" ht="11.25">
      <c r="A51" s="17"/>
      <c r="B51" s="2179" t="s">
        <v>1665</v>
      </c>
      <c r="C51" s="2179"/>
      <c r="D51" s="2179"/>
      <c r="E51" s="2179"/>
      <c r="F51" s="2179"/>
      <c r="G51" s="2179"/>
      <c r="H51" s="2179"/>
      <c r="I51" s="2179"/>
    </row>
    <row r="52" spans="1:9">
      <c r="A52" s="590" t="s">
        <v>865</v>
      </c>
      <c r="B52" s="2170" t="s">
        <v>1299</v>
      </c>
      <c r="C52" s="2170"/>
      <c r="D52" s="2170"/>
      <c r="E52" s="2170"/>
      <c r="F52" s="33"/>
      <c r="G52" s="33"/>
      <c r="H52" s="247"/>
      <c r="I52" s="247"/>
    </row>
    <row r="54" spans="1:9">
      <c r="E54" s="632"/>
    </row>
    <row r="55" spans="1:9">
      <c r="E55" s="632"/>
    </row>
    <row r="58" spans="1:9" ht="11.1" customHeight="1"/>
    <row r="59" spans="1:9" ht="11.1" customHeight="1"/>
    <row r="60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52:E52"/>
    <mergeCell ref="B50:I50"/>
    <mergeCell ref="A1:G2"/>
    <mergeCell ref="H3:I3"/>
    <mergeCell ref="A4:A5"/>
    <mergeCell ref="B4:E4"/>
    <mergeCell ref="F4:I4"/>
    <mergeCell ref="B51:I51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1"/>
  <sheetViews>
    <sheetView zoomScale="150" zoomScaleNormal="150" workbookViewId="0">
      <pane xSplit="1" ySplit="6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A45" sqref="A45:XFD45"/>
    </sheetView>
  </sheetViews>
  <sheetFormatPr defaultColWidth="9.140625" defaultRowHeight="9"/>
  <cols>
    <col min="1" max="1" width="8.85546875" style="67" customWidth="1"/>
    <col min="2" max="2" width="5.28515625" style="33" customWidth="1"/>
    <col min="3" max="3" width="8.28515625" style="33" customWidth="1"/>
    <col min="4" max="4" width="4.85546875" style="33" customWidth="1"/>
    <col min="5" max="5" width="8.28515625" style="33" customWidth="1"/>
    <col min="6" max="6" width="5.42578125" style="33" customWidth="1"/>
    <col min="7" max="7" width="7.71093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4257812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180" t="s">
        <v>647</v>
      </c>
      <c r="B1" s="2180"/>
      <c r="C1" s="2180"/>
      <c r="D1" s="2180"/>
      <c r="E1" s="59"/>
      <c r="F1" s="59"/>
      <c r="J1" s="2197" t="s">
        <v>117</v>
      </c>
      <c r="K1" s="2197"/>
      <c r="L1" s="2197"/>
      <c r="M1" s="2186" t="s">
        <v>116</v>
      </c>
      <c r="N1" s="2186"/>
      <c r="S1" s="2197" t="s">
        <v>138</v>
      </c>
      <c r="T1" s="2197"/>
      <c r="U1" s="2197"/>
      <c r="AE1" s="2197" t="s">
        <v>117</v>
      </c>
      <c r="AF1" s="2197"/>
      <c r="AG1" s="2186" t="s">
        <v>116</v>
      </c>
      <c r="AH1" s="2186"/>
      <c r="AI1" s="2186"/>
      <c r="AN1" s="2197" t="s">
        <v>227</v>
      </c>
      <c r="AO1" s="2197"/>
      <c r="AP1" s="2197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181" t="s">
        <v>24</v>
      </c>
      <c r="U2" s="2181"/>
      <c r="AO2" s="2181" t="s">
        <v>24</v>
      </c>
      <c r="AP2" s="2181"/>
    </row>
    <row r="3" spans="1:42" s="114" customFormat="1" ht="13.5" customHeight="1">
      <c r="A3" s="2187" t="s">
        <v>21</v>
      </c>
      <c r="B3" s="2199" t="s">
        <v>169</v>
      </c>
      <c r="C3" s="2192"/>
      <c r="D3" s="2192"/>
      <c r="E3" s="2192"/>
      <c r="F3" s="2192"/>
      <c r="G3" s="2192"/>
      <c r="H3" s="2192"/>
      <c r="I3" s="2192"/>
      <c r="J3" s="2192"/>
      <c r="K3" s="2192"/>
      <c r="L3" s="2193"/>
      <c r="M3" s="2199" t="s">
        <v>170</v>
      </c>
      <c r="N3" s="2192"/>
      <c r="O3" s="2192"/>
      <c r="P3" s="2192"/>
      <c r="Q3" s="2192"/>
      <c r="R3" s="2192"/>
      <c r="S3" s="2192"/>
      <c r="T3" s="2193"/>
      <c r="U3" s="2187" t="s">
        <v>21</v>
      </c>
      <c r="V3" s="2187" t="s">
        <v>21</v>
      </c>
      <c r="W3" s="2199" t="s">
        <v>171</v>
      </c>
      <c r="X3" s="2192"/>
      <c r="Y3" s="2192"/>
      <c r="Z3" s="2192"/>
      <c r="AA3" s="2192"/>
      <c r="AB3" s="2192"/>
      <c r="AC3" s="2192"/>
      <c r="AD3" s="2192"/>
      <c r="AE3" s="2192"/>
      <c r="AF3" s="2192"/>
      <c r="AG3" s="2192"/>
      <c r="AH3" s="2192" t="s">
        <v>172</v>
      </c>
      <c r="AI3" s="2192"/>
      <c r="AJ3" s="2192"/>
      <c r="AK3" s="2192"/>
      <c r="AL3" s="2192"/>
      <c r="AM3" s="2193"/>
      <c r="AN3" s="2182" t="s">
        <v>963</v>
      </c>
      <c r="AO3" s="2182" t="s">
        <v>965</v>
      </c>
      <c r="AP3" s="2187" t="s">
        <v>498</v>
      </c>
    </row>
    <row r="4" spans="1:42" s="82" customFormat="1" ht="11.25" customHeight="1">
      <c r="A4" s="2188"/>
      <c r="B4" s="2182" t="s">
        <v>982</v>
      </c>
      <c r="C4" s="2184" t="s">
        <v>2783</v>
      </c>
      <c r="D4" s="2182" t="s">
        <v>111</v>
      </c>
      <c r="E4" s="2184" t="s">
        <v>2784</v>
      </c>
      <c r="F4" s="2182" t="s">
        <v>2785</v>
      </c>
      <c r="G4" s="2184" t="s">
        <v>2786</v>
      </c>
      <c r="H4" s="2184" t="s">
        <v>1328</v>
      </c>
      <c r="I4" s="2182" t="s">
        <v>797</v>
      </c>
      <c r="J4" s="2182" t="s">
        <v>798</v>
      </c>
      <c r="K4" s="2182" t="s">
        <v>663</v>
      </c>
      <c r="L4" s="2190" t="s">
        <v>225</v>
      </c>
      <c r="M4" s="2194" t="s">
        <v>508</v>
      </c>
      <c r="N4" s="2195"/>
      <c r="O4" s="2196"/>
      <c r="P4" s="2194" t="s">
        <v>221</v>
      </c>
      <c r="Q4" s="2195"/>
      <c r="R4" s="2195"/>
      <c r="S4" s="2195"/>
      <c r="T4" s="2196"/>
      <c r="U4" s="2188"/>
      <c r="V4" s="2188"/>
      <c r="W4" s="2194" t="s">
        <v>226</v>
      </c>
      <c r="X4" s="2195"/>
      <c r="Y4" s="2195"/>
      <c r="Z4" s="2195"/>
      <c r="AA4" s="2195"/>
      <c r="AB4" s="2195"/>
      <c r="AC4" s="2195"/>
      <c r="AD4" s="2195"/>
      <c r="AE4" s="2195"/>
      <c r="AF4" s="2195"/>
      <c r="AG4" s="2195"/>
      <c r="AH4" s="2195"/>
      <c r="AI4" s="2195"/>
      <c r="AJ4" s="2195"/>
      <c r="AK4" s="2195"/>
      <c r="AL4" s="2195"/>
      <c r="AM4" s="2196"/>
      <c r="AN4" s="2198"/>
      <c r="AO4" s="2198"/>
      <c r="AP4" s="2188"/>
    </row>
    <row r="5" spans="1:42" s="64" customFormat="1" ht="44.25" customHeight="1">
      <c r="A5" s="2188"/>
      <c r="B5" s="2183"/>
      <c r="C5" s="2185"/>
      <c r="D5" s="2183"/>
      <c r="E5" s="2185"/>
      <c r="F5" s="2183"/>
      <c r="G5" s="2185"/>
      <c r="H5" s="2185"/>
      <c r="I5" s="2183"/>
      <c r="J5" s="2183"/>
      <c r="K5" s="2183"/>
      <c r="L5" s="2191"/>
      <c r="M5" s="1493" t="s">
        <v>509</v>
      </c>
      <c r="N5" s="1494" t="s">
        <v>510</v>
      </c>
      <c r="O5" s="1494" t="s">
        <v>659</v>
      </c>
      <c r="P5" s="1776" t="s">
        <v>2787</v>
      </c>
      <c r="Q5" s="1494" t="s">
        <v>511</v>
      </c>
      <c r="R5" s="1494" t="s">
        <v>799</v>
      </c>
      <c r="S5" s="1494" t="s">
        <v>800</v>
      </c>
      <c r="T5" s="1493" t="s">
        <v>834</v>
      </c>
      <c r="U5" s="2188"/>
      <c r="V5" s="2188"/>
      <c r="W5" s="1108" t="s">
        <v>603</v>
      </c>
      <c r="X5" s="1490" t="s">
        <v>113</v>
      </c>
      <c r="Y5" s="1490" t="s">
        <v>962</v>
      </c>
      <c r="Z5" s="1774" t="s">
        <v>2788</v>
      </c>
      <c r="AA5" s="1775" t="s">
        <v>2790</v>
      </c>
      <c r="AB5" s="1490" t="s">
        <v>223</v>
      </c>
      <c r="AC5" s="1774" t="s">
        <v>593</v>
      </c>
      <c r="AD5" s="1774" t="s">
        <v>2791</v>
      </c>
      <c r="AE5" s="1775" t="s">
        <v>2789</v>
      </c>
      <c r="AF5" s="1774" t="s">
        <v>2792</v>
      </c>
      <c r="AG5" s="1490" t="s">
        <v>512</v>
      </c>
      <c r="AH5" s="1439" t="s">
        <v>1329</v>
      </c>
      <c r="AI5" s="1494" t="s">
        <v>801</v>
      </c>
      <c r="AJ5" s="1776" t="s">
        <v>2793</v>
      </c>
      <c r="AK5" s="1494" t="s">
        <v>224</v>
      </c>
      <c r="AL5" s="1494" t="s">
        <v>833</v>
      </c>
      <c r="AM5" s="1494" t="s">
        <v>964</v>
      </c>
      <c r="AN5" s="2183"/>
      <c r="AO5" s="2183"/>
      <c r="AP5" s="2188"/>
    </row>
    <row r="6" spans="1:42" s="68" customFormat="1" ht="12" customHeight="1">
      <c r="A6" s="2189"/>
      <c r="B6" s="1495">
        <v>1</v>
      </c>
      <c r="C6" s="1492">
        <v>2</v>
      </c>
      <c r="D6" s="1492">
        <v>3</v>
      </c>
      <c r="E6" s="1492">
        <v>4</v>
      </c>
      <c r="F6" s="1492">
        <v>5</v>
      </c>
      <c r="G6" s="1492">
        <v>6</v>
      </c>
      <c r="H6" s="1492">
        <v>7</v>
      </c>
      <c r="I6" s="1492">
        <v>8</v>
      </c>
      <c r="J6" s="1492">
        <v>9</v>
      </c>
      <c r="K6" s="1492">
        <v>10</v>
      </c>
      <c r="L6" s="1492">
        <v>11</v>
      </c>
      <c r="M6" s="903">
        <v>12</v>
      </c>
      <c r="N6" s="1492">
        <v>13</v>
      </c>
      <c r="O6" s="1492" t="s">
        <v>660</v>
      </c>
      <c r="P6" s="1492">
        <v>15</v>
      </c>
      <c r="Q6" s="1492">
        <v>16</v>
      </c>
      <c r="R6" s="1492">
        <v>17</v>
      </c>
      <c r="S6" s="1492">
        <v>18</v>
      </c>
      <c r="T6" s="903">
        <v>19</v>
      </c>
      <c r="U6" s="2189"/>
      <c r="V6" s="2189"/>
      <c r="W6" s="1495">
        <v>20</v>
      </c>
      <c r="X6" s="1492">
        <v>21</v>
      </c>
      <c r="Y6" s="1492">
        <v>22</v>
      </c>
      <c r="Z6" s="1492">
        <v>23</v>
      </c>
      <c r="AA6" s="1492">
        <v>24</v>
      </c>
      <c r="AB6" s="1492">
        <v>25</v>
      </c>
      <c r="AC6" s="1492">
        <v>26</v>
      </c>
      <c r="AD6" s="1492">
        <v>27</v>
      </c>
      <c r="AE6" s="1492">
        <v>28</v>
      </c>
      <c r="AF6" s="1492">
        <v>29</v>
      </c>
      <c r="AG6" s="1492">
        <v>30</v>
      </c>
      <c r="AH6" s="1492">
        <v>31</v>
      </c>
      <c r="AI6" s="1492">
        <v>32</v>
      </c>
      <c r="AJ6" s="1492">
        <v>33</v>
      </c>
      <c r="AK6" s="1492">
        <v>34</v>
      </c>
      <c r="AL6" s="1492">
        <v>35</v>
      </c>
      <c r="AM6" s="1492">
        <v>36</v>
      </c>
      <c r="AN6" s="1492" t="s">
        <v>661</v>
      </c>
      <c r="AO6" s="65" t="s">
        <v>662</v>
      </c>
      <c r="AP6" s="2189"/>
    </row>
    <row r="7" spans="1:42" s="57" customFormat="1" ht="10.7" customHeight="1">
      <c r="A7" s="666" t="s">
        <v>81</v>
      </c>
      <c r="B7" s="668">
        <v>1330</v>
      </c>
      <c r="C7" s="498">
        <v>3654.5</v>
      </c>
      <c r="D7" s="498">
        <v>37</v>
      </c>
      <c r="E7" s="498">
        <v>2430.1999999999998</v>
      </c>
      <c r="F7" s="498">
        <v>3210.6</v>
      </c>
      <c r="G7" s="498">
        <v>67246.899999999994</v>
      </c>
      <c r="H7" s="668">
        <v>993.3</v>
      </c>
      <c r="I7" s="668">
        <v>0</v>
      </c>
      <c r="J7" s="668">
        <v>236.9</v>
      </c>
      <c r="K7" s="668">
        <v>23008.800000000003</v>
      </c>
      <c r="L7" s="668">
        <v>102148.2</v>
      </c>
      <c r="M7" s="668">
        <v>521.9</v>
      </c>
      <c r="N7" s="668">
        <v>5266.9</v>
      </c>
      <c r="O7" s="668">
        <v>5788.7999999999993</v>
      </c>
      <c r="P7" s="668">
        <v>736.5</v>
      </c>
      <c r="Q7" s="668">
        <v>754.7</v>
      </c>
      <c r="R7" s="668">
        <v>900.2</v>
      </c>
      <c r="S7" s="668">
        <v>7259.9</v>
      </c>
      <c r="T7" s="668">
        <v>2421.8000000000002</v>
      </c>
      <c r="U7" s="667" t="s">
        <v>81</v>
      </c>
      <c r="V7" s="666" t="s">
        <v>81</v>
      </c>
      <c r="W7" s="498">
        <v>4497.3</v>
      </c>
      <c r="X7" s="498">
        <v>2304.8000000000002</v>
      </c>
      <c r="Y7" s="498">
        <v>3700.2</v>
      </c>
      <c r="Z7" s="498">
        <v>13984.2</v>
      </c>
      <c r="AA7" s="498">
        <v>6722</v>
      </c>
      <c r="AB7" s="498">
        <v>713.4</v>
      </c>
      <c r="AC7" s="498">
        <v>4960</v>
      </c>
      <c r="AD7" s="498">
        <v>1899.5</v>
      </c>
      <c r="AE7" s="498">
        <v>6683.3</v>
      </c>
      <c r="AF7" s="498">
        <v>9958.7999999999993</v>
      </c>
      <c r="AG7" s="498">
        <v>4971</v>
      </c>
      <c r="AH7" s="498">
        <v>13742</v>
      </c>
      <c r="AI7" s="668">
        <v>814.6</v>
      </c>
      <c r="AJ7" s="668">
        <v>10051.9</v>
      </c>
      <c r="AK7" s="668">
        <v>11032.1</v>
      </c>
      <c r="AL7" s="668">
        <v>50346.400000000001</v>
      </c>
      <c r="AM7" s="668">
        <v>158454.6</v>
      </c>
      <c r="AN7" s="668">
        <v>164243.4</v>
      </c>
      <c r="AO7" s="668">
        <f>L7-AN7</f>
        <v>-62095.199999999997</v>
      </c>
      <c r="AP7" s="73" t="s">
        <v>81</v>
      </c>
    </row>
    <row r="8" spans="1:42" s="57" customFormat="1" ht="10.7" customHeight="1">
      <c r="A8" s="333" t="s">
        <v>192</v>
      </c>
      <c r="B8" s="417">
        <v>1977</v>
      </c>
      <c r="C8" s="311">
        <v>4776.8999999999996</v>
      </c>
      <c r="D8" s="311">
        <v>19.2</v>
      </c>
      <c r="E8" s="311">
        <v>3367.4</v>
      </c>
      <c r="F8" s="311">
        <v>4149</v>
      </c>
      <c r="G8" s="311">
        <v>96439.8</v>
      </c>
      <c r="H8" s="417">
        <v>706.9</v>
      </c>
      <c r="I8" s="417">
        <v>0</v>
      </c>
      <c r="J8" s="417">
        <v>181.2</v>
      </c>
      <c r="K8" s="417">
        <v>33390.200000000012</v>
      </c>
      <c r="L8" s="417">
        <v>145007.6</v>
      </c>
      <c r="M8" s="417">
        <v>5941.5</v>
      </c>
      <c r="N8" s="417">
        <v>7722.2</v>
      </c>
      <c r="O8" s="417">
        <v>13663.7</v>
      </c>
      <c r="P8" s="417">
        <v>1152.8</v>
      </c>
      <c r="Q8" s="417">
        <v>898.4</v>
      </c>
      <c r="R8" s="417">
        <v>737</v>
      </c>
      <c r="S8" s="417">
        <v>7599.6</v>
      </c>
      <c r="T8" s="417">
        <v>2072.1999999999998</v>
      </c>
      <c r="U8" s="334" t="s">
        <v>192</v>
      </c>
      <c r="V8" s="333" t="s">
        <v>192</v>
      </c>
      <c r="W8" s="311">
        <v>4667.2</v>
      </c>
      <c r="X8" s="311">
        <v>3180.9</v>
      </c>
      <c r="Y8" s="311">
        <v>6589.7</v>
      </c>
      <c r="Z8" s="311">
        <v>22819.3</v>
      </c>
      <c r="AA8" s="311">
        <v>8937.5</v>
      </c>
      <c r="AB8" s="311">
        <v>823.4</v>
      </c>
      <c r="AC8" s="311">
        <v>8816.5</v>
      </c>
      <c r="AD8" s="311">
        <v>2371.3000000000002</v>
      </c>
      <c r="AE8" s="311">
        <v>9277.1</v>
      </c>
      <c r="AF8" s="311">
        <v>19114.3</v>
      </c>
      <c r="AG8" s="311">
        <v>9928.1</v>
      </c>
      <c r="AH8" s="311">
        <v>19101.400000000001</v>
      </c>
      <c r="AI8" s="417">
        <v>1284.5</v>
      </c>
      <c r="AJ8" s="417">
        <v>14290.6</v>
      </c>
      <c r="AK8" s="417">
        <v>16588.599999999999</v>
      </c>
      <c r="AL8" s="417">
        <v>66113.7</v>
      </c>
      <c r="AM8" s="417">
        <v>226364.10000000003</v>
      </c>
      <c r="AN8" s="417">
        <v>240027.80000000005</v>
      </c>
      <c r="AO8" s="417">
        <f t="shared" ref="AO8:AO18" si="0">L8-AN8</f>
        <v>-95020.200000000041</v>
      </c>
      <c r="AP8" s="326" t="s">
        <v>192</v>
      </c>
    </row>
    <row r="9" spans="1:42" s="68" customFormat="1" ht="10.7" customHeight="1">
      <c r="A9" s="1491" t="s">
        <v>757</v>
      </c>
      <c r="B9" s="668">
        <v>1866</v>
      </c>
      <c r="C9" s="668">
        <v>5200</v>
      </c>
      <c r="D9" s="668">
        <v>28.6</v>
      </c>
      <c r="E9" s="668">
        <v>4264.8999999999996</v>
      </c>
      <c r="F9" s="668">
        <v>4758.3</v>
      </c>
      <c r="G9" s="668">
        <v>120147.3</v>
      </c>
      <c r="H9" s="668">
        <v>857.2</v>
      </c>
      <c r="I9" s="668">
        <v>0</v>
      </c>
      <c r="J9" s="668">
        <v>129.9</v>
      </c>
      <c r="K9" s="668">
        <v>43057.799999999988</v>
      </c>
      <c r="L9" s="668">
        <v>180310</v>
      </c>
      <c r="M9" s="668">
        <v>2186.9</v>
      </c>
      <c r="N9" s="668">
        <v>4890.3999999999996</v>
      </c>
      <c r="O9" s="668">
        <v>7077.2999999999993</v>
      </c>
      <c r="P9" s="668">
        <v>1750</v>
      </c>
      <c r="Q9" s="668">
        <v>1079.9000000000001</v>
      </c>
      <c r="R9" s="668">
        <v>1416.4</v>
      </c>
      <c r="S9" s="668">
        <v>13051.8</v>
      </c>
      <c r="T9" s="668">
        <v>1910.7</v>
      </c>
      <c r="U9" s="638" t="s">
        <v>757</v>
      </c>
      <c r="V9" s="254" t="s">
        <v>757</v>
      </c>
      <c r="W9" s="668">
        <v>9391.7000000000007</v>
      </c>
      <c r="X9" s="668">
        <v>3993.7</v>
      </c>
      <c r="Y9" s="668">
        <v>7907</v>
      </c>
      <c r="Z9" s="668">
        <v>30964.400000000001</v>
      </c>
      <c r="AA9" s="668">
        <v>9575.7000000000007</v>
      </c>
      <c r="AB9" s="668">
        <v>935.5</v>
      </c>
      <c r="AC9" s="668">
        <v>10907.1</v>
      </c>
      <c r="AD9" s="668">
        <v>2974.8</v>
      </c>
      <c r="AE9" s="668">
        <v>10835.1</v>
      </c>
      <c r="AF9" s="668">
        <v>16558.2</v>
      </c>
      <c r="AG9" s="668">
        <v>10849.6</v>
      </c>
      <c r="AH9" s="668">
        <v>23901.3</v>
      </c>
      <c r="AI9" s="668">
        <v>3393.6</v>
      </c>
      <c r="AJ9" s="668">
        <v>17637</v>
      </c>
      <c r="AK9" s="668">
        <v>15799</v>
      </c>
      <c r="AL9" s="668">
        <v>79055.899999999994</v>
      </c>
      <c r="AM9" s="668">
        <v>273888.40000000002</v>
      </c>
      <c r="AN9" s="668">
        <v>280965.7</v>
      </c>
      <c r="AO9" s="668">
        <f t="shared" si="0"/>
        <v>-100655.70000000001</v>
      </c>
      <c r="AP9" s="638" t="s">
        <v>757</v>
      </c>
    </row>
    <row r="10" spans="1:42" s="277" customFormat="1" ht="10.7" customHeight="1">
      <c r="A10" s="333" t="s">
        <v>866</v>
      </c>
      <c r="B10" s="417">
        <v>1681.3</v>
      </c>
      <c r="C10" s="311">
        <v>5987.8</v>
      </c>
      <c r="D10" s="311">
        <v>18.2</v>
      </c>
      <c r="E10" s="311">
        <v>5398.8</v>
      </c>
      <c r="F10" s="311">
        <v>3580.2</v>
      </c>
      <c r="G10" s="311">
        <v>128269.2</v>
      </c>
      <c r="H10" s="417">
        <v>144.80000000000001</v>
      </c>
      <c r="I10" s="417">
        <v>0</v>
      </c>
      <c r="J10" s="417">
        <v>0.6</v>
      </c>
      <c r="K10" s="417">
        <v>44578.800000000017</v>
      </c>
      <c r="L10" s="417">
        <v>189659.7</v>
      </c>
      <c r="M10" s="417">
        <v>240.1</v>
      </c>
      <c r="N10" s="417">
        <v>5575.5</v>
      </c>
      <c r="O10" s="417">
        <v>5815.6</v>
      </c>
      <c r="P10" s="417">
        <v>1709.3</v>
      </c>
      <c r="Q10" s="417">
        <v>945.1</v>
      </c>
      <c r="R10" s="417">
        <v>1930.3</v>
      </c>
      <c r="S10" s="417">
        <v>11185</v>
      </c>
      <c r="T10" s="417">
        <v>3371.1</v>
      </c>
      <c r="U10" s="334" t="s">
        <v>866</v>
      </c>
      <c r="V10" s="333" t="s">
        <v>866</v>
      </c>
      <c r="W10" s="311">
        <v>5851.7</v>
      </c>
      <c r="X10" s="311">
        <v>3887.6</v>
      </c>
      <c r="Y10" s="311">
        <v>8799.9</v>
      </c>
      <c r="Z10" s="311">
        <v>29121.8</v>
      </c>
      <c r="AA10" s="311">
        <v>10405.1</v>
      </c>
      <c r="AB10" s="311">
        <v>951.7</v>
      </c>
      <c r="AC10" s="311">
        <v>9564.6</v>
      </c>
      <c r="AD10" s="311">
        <v>3189.6</v>
      </c>
      <c r="AE10" s="311">
        <v>10904.3</v>
      </c>
      <c r="AF10" s="311">
        <v>16003.1</v>
      </c>
      <c r="AG10" s="311">
        <v>10849.9</v>
      </c>
      <c r="AH10" s="311">
        <v>26132.1</v>
      </c>
      <c r="AI10" s="417">
        <v>3627.8</v>
      </c>
      <c r="AJ10" s="417">
        <v>18641.599999999999</v>
      </c>
      <c r="AK10" s="417">
        <v>14671.3</v>
      </c>
      <c r="AL10" s="417">
        <v>74769.399999999994</v>
      </c>
      <c r="AM10" s="417">
        <v>266512.3</v>
      </c>
      <c r="AN10" s="417">
        <v>272327.89999999997</v>
      </c>
      <c r="AO10" s="417">
        <f t="shared" si="0"/>
        <v>-82668.199999999953</v>
      </c>
      <c r="AP10" s="326" t="s">
        <v>866</v>
      </c>
    </row>
    <row r="11" spans="1:42" s="265" customFormat="1" ht="10.7" customHeight="1">
      <c r="A11" s="507" t="s">
        <v>1051</v>
      </c>
      <c r="B11" s="397">
        <v>948.1</v>
      </c>
      <c r="C11" s="397">
        <v>5316.6</v>
      </c>
      <c r="D11" s="397">
        <v>16.3</v>
      </c>
      <c r="E11" s="397">
        <v>6863.6</v>
      </c>
      <c r="F11" s="397">
        <v>4097</v>
      </c>
      <c r="G11" s="397">
        <v>146626.6</v>
      </c>
      <c r="H11" s="397">
        <v>133.6</v>
      </c>
      <c r="I11" s="397">
        <v>0</v>
      </c>
      <c r="J11" s="397">
        <v>0.8</v>
      </c>
      <c r="K11" s="397">
        <v>49371.899999999994</v>
      </c>
      <c r="L11" s="397">
        <v>213374.5</v>
      </c>
      <c r="M11" s="397">
        <v>2700.2</v>
      </c>
      <c r="N11" s="397">
        <v>8685.9</v>
      </c>
      <c r="O11" s="397">
        <v>11386.099999999999</v>
      </c>
      <c r="P11" s="397">
        <v>2247.6</v>
      </c>
      <c r="Q11" s="397">
        <v>1423.1</v>
      </c>
      <c r="R11" s="397">
        <v>3952</v>
      </c>
      <c r="S11" s="397">
        <v>13685.3</v>
      </c>
      <c r="T11" s="397">
        <v>3535</v>
      </c>
      <c r="U11" s="508" t="s">
        <v>1051</v>
      </c>
      <c r="V11" s="507" t="s">
        <v>1051</v>
      </c>
      <c r="W11" s="397">
        <v>7011.1</v>
      </c>
      <c r="X11" s="397">
        <v>4810.3</v>
      </c>
      <c r="Y11" s="397">
        <v>7218.5</v>
      </c>
      <c r="Z11" s="397">
        <v>31629</v>
      </c>
      <c r="AA11" s="397">
        <v>11644</v>
      </c>
      <c r="AB11" s="397">
        <v>932</v>
      </c>
      <c r="AC11" s="397">
        <v>7977</v>
      </c>
      <c r="AD11" s="397">
        <v>4185.5</v>
      </c>
      <c r="AE11" s="397">
        <v>13937.2</v>
      </c>
      <c r="AF11" s="397">
        <v>18851.3</v>
      </c>
      <c r="AG11" s="397">
        <v>11705.4</v>
      </c>
      <c r="AH11" s="397">
        <v>27852.3</v>
      </c>
      <c r="AI11" s="397">
        <v>3832.7</v>
      </c>
      <c r="AJ11" s="397">
        <v>20653</v>
      </c>
      <c r="AK11" s="397">
        <v>18121.400000000001</v>
      </c>
      <c r="AL11" s="397">
        <v>89982.399999999994</v>
      </c>
      <c r="AM11" s="397">
        <v>305186.09999999998</v>
      </c>
      <c r="AN11" s="397">
        <v>316572.19999999995</v>
      </c>
      <c r="AO11" s="668">
        <f t="shared" si="0"/>
        <v>-103197.69999999995</v>
      </c>
      <c r="AP11" s="508" t="s">
        <v>1051</v>
      </c>
    </row>
    <row r="12" spans="1:42" s="250" customFormat="1" ht="10.7" customHeight="1">
      <c r="A12" s="333" t="s">
        <v>1105</v>
      </c>
      <c r="B12" s="417">
        <v>856.4</v>
      </c>
      <c r="C12" s="417">
        <v>5350.7</v>
      </c>
      <c r="D12" s="417">
        <v>31.8</v>
      </c>
      <c r="E12" s="417">
        <v>6890.4</v>
      </c>
      <c r="F12" s="417">
        <v>3989.1</v>
      </c>
      <c r="G12" s="417">
        <v>156045.5</v>
      </c>
      <c r="H12" s="417">
        <v>290</v>
      </c>
      <c r="I12" s="417">
        <v>0</v>
      </c>
      <c r="J12" s="417">
        <v>0.6</v>
      </c>
      <c r="K12" s="417">
        <v>53031.700000000012</v>
      </c>
      <c r="L12" s="417">
        <v>226486.2</v>
      </c>
      <c r="M12" s="417">
        <v>4311.1000000000004</v>
      </c>
      <c r="N12" s="417">
        <v>7913.1</v>
      </c>
      <c r="O12" s="417">
        <v>12224.2</v>
      </c>
      <c r="P12" s="417">
        <v>2410.1</v>
      </c>
      <c r="Q12" s="417">
        <v>1668.2</v>
      </c>
      <c r="R12" s="417">
        <v>2745</v>
      </c>
      <c r="S12" s="417">
        <v>12221.1</v>
      </c>
      <c r="T12" s="417">
        <v>3057.7</v>
      </c>
      <c r="U12" s="334" t="s">
        <v>1105</v>
      </c>
      <c r="V12" s="333" t="s">
        <v>1105</v>
      </c>
      <c r="W12" s="935">
        <v>5770.1</v>
      </c>
      <c r="X12" s="935">
        <v>4631.3</v>
      </c>
      <c r="Y12" s="935">
        <v>6629.7</v>
      </c>
      <c r="Z12" s="935">
        <v>26174.6</v>
      </c>
      <c r="AA12" s="935">
        <v>12191.1</v>
      </c>
      <c r="AB12" s="935">
        <v>873.9</v>
      </c>
      <c r="AC12" s="935">
        <v>9647.6</v>
      </c>
      <c r="AD12" s="935">
        <v>4312.3</v>
      </c>
      <c r="AE12" s="935">
        <v>14331.9</v>
      </c>
      <c r="AF12" s="935">
        <v>17672.3</v>
      </c>
      <c r="AG12" s="935">
        <v>12378.5</v>
      </c>
      <c r="AH12" s="935">
        <v>28568.799999999999</v>
      </c>
      <c r="AI12" s="935">
        <v>4077.7</v>
      </c>
      <c r="AJ12" s="935">
        <v>22908.799999999999</v>
      </c>
      <c r="AK12" s="935">
        <v>20291.7</v>
      </c>
      <c r="AL12" s="935">
        <v>90398.1</v>
      </c>
      <c r="AM12" s="935">
        <v>302960.5</v>
      </c>
      <c r="AN12" s="935">
        <v>315184.7</v>
      </c>
      <c r="AO12" s="417">
        <f t="shared" si="0"/>
        <v>-88698.5</v>
      </c>
      <c r="AP12" s="334" t="s">
        <v>1105</v>
      </c>
    </row>
    <row r="13" spans="1:42" s="265" customFormat="1" ht="10.7" customHeight="1">
      <c r="A13" s="507" t="s">
        <v>1231</v>
      </c>
      <c r="B13" s="396">
        <v>1256.7</v>
      </c>
      <c r="C13" s="396">
        <v>5699.7</v>
      </c>
      <c r="D13" s="396">
        <v>14.9</v>
      </c>
      <c r="E13" s="396">
        <v>6496.9</v>
      </c>
      <c r="F13" s="396">
        <v>3559.2</v>
      </c>
      <c r="G13" s="396">
        <v>163120.5</v>
      </c>
      <c r="H13" s="396">
        <v>101.4</v>
      </c>
      <c r="I13" s="396">
        <v>0</v>
      </c>
      <c r="J13" s="396">
        <v>0</v>
      </c>
      <c r="K13" s="396">
        <v>56553.800000000017</v>
      </c>
      <c r="L13" s="396">
        <v>236803.1</v>
      </c>
      <c r="M13" s="396">
        <v>931.4</v>
      </c>
      <c r="N13" s="396">
        <v>7159.1</v>
      </c>
      <c r="O13" s="396">
        <v>8090.5</v>
      </c>
      <c r="P13" s="396">
        <v>1766.2</v>
      </c>
      <c r="Q13" s="396">
        <v>1597.8</v>
      </c>
      <c r="R13" s="396">
        <v>4083.2</v>
      </c>
      <c r="S13" s="396">
        <v>10409.299999999999</v>
      </c>
      <c r="T13" s="396">
        <v>3625.2</v>
      </c>
      <c r="U13" s="831" t="s">
        <v>1231</v>
      </c>
      <c r="V13" s="395" t="s">
        <v>1231</v>
      </c>
      <c r="W13" s="396">
        <v>5171.3999999999996</v>
      </c>
      <c r="X13" s="396">
        <v>3467.4</v>
      </c>
      <c r="Y13" s="396">
        <v>2985.2</v>
      </c>
      <c r="Z13" s="396">
        <v>17826.599999999999</v>
      </c>
      <c r="AA13" s="396">
        <v>13214.5</v>
      </c>
      <c r="AB13" s="396">
        <v>937.5</v>
      </c>
      <c r="AC13" s="396">
        <v>8170.1</v>
      </c>
      <c r="AD13" s="396">
        <v>4271.7</v>
      </c>
      <c r="AE13" s="396">
        <v>14233.1</v>
      </c>
      <c r="AF13" s="396">
        <v>16844</v>
      </c>
      <c r="AG13" s="396">
        <v>12884.7</v>
      </c>
      <c r="AH13" s="396">
        <v>32259.1</v>
      </c>
      <c r="AI13" s="396">
        <v>4713.1000000000004</v>
      </c>
      <c r="AJ13" s="396">
        <v>21924.9</v>
      </c>
      <c r="AK13" s="396">
        <v>23920.3</v>
      </c>
      <c r="AL13" s="396">
        <v>101483</v>
      </c>
      <c r="AM13" s="396">
        <v>305788.3</v>
      </c>
      <c r="AN13" s="396">
        <v>313878.8</v>
      </c>
      <c r="AO13" s="668">
        <f t="shared" si="0"/>
        <v>-77075.699999999983</v>
      </c>
      <c r="AP13" s="831" t="s">
        <v>1231</v>
      </c>
    </row>
    <row r="14" spans="1:42" s="265" customFormat="1" ht="10.7" customHeight="1">
      <c r="A14" s="333" t="s">
        <v>1263</v>
      </c>
      <c r="B14" s="417">
        <v>1381.5</v>
      </c>
      <c r="C14" s="417">
        <v>6116.2</v>
      </c>
      <c r="D14" s="417">
        <v>31.4</v>
      </c>
      <c r="E14" s="417">
        <v>6232.9</v>
      </c>
      <c r="F14" s="417">
        <v>3679.8</v>
      </c>
      <c r="G14" s="417">
        <v>166761.1</v>
      </c>
      <c r="H14" s="417">
        <v>130.4</v>
      </c>
      <c r="I14" s="417">
        <v>0</v>
      </c>
      <c r="J14" s="417">
        <v>44.1</v>
      </c>
      <c r="K14" s="417">
        <v>55278.800000000017</v>
      </c>
      <c r="L14" s="417">
        <v>239656.2</v>
      </c>
      <c r="M14" s="417">
        <v>604.1</v>
      </c>
      <c r="N14" s="417">
        <v>8157.1</v>
      </c>
      <c r="O14" s="417">
        <v>8761.2000000000007</v>
      </c>
      <c r="P14" s="417">
        <v>1998.9</v>
      </c>
      <c r="Q14" s="417">
        <v>2051.1</v>
      </c>
      <c r="R14" s="417">
        <v>3273.5</v>
      </c>
      <c r="S14" s="417">
        <v>11837.8</v>
      </c>
      <c r="T14" s="417">
        <v>4669.3999999999996</v>
      </c>
      <c r="U14" s="919" t="s">
        <v>1263</v>
      </c>
      <c r="V14" s="834" t="s">
        <v>1263</v>
      </c>
      <c r="W14" s="417">
        <v>6648</v>
      </c>
      <c r="X14" s="417">
        <v>3764.2</v>
      </c>
      <c r="Y14" s="417">
        <v>4222.1000000000004</v>
      </c>
      <c r="Z14" s="417">
        <v>21980.2</v>
      </c>
      <c r="AA14" s="417">
        <v>14792.9</v>
      </c>
      <c r="AB14" s="417">
        <v>1159.9000000000001</v>
      </c>
      <c r="AC14" s="417">
        <v>5742.4</v>
      </c>
      <c r="AD14" s="417">
        <v>4436.5</v>
      </c>
      <c r="AE14" s="417">
        <v>15330.1</v>
      </c>
      <c r="AF14" s="417">
        <v>20702.7</v>
      </c>
      <c r="AG14" s="417">
        <v>13181.2</v>
      </c>
      <c r="AH14" s="417">
        <v>32746.7</v>
      </c>
      <c r="AI14" s="417">
        <v>4836.8</v>
      </c>
      <c r="AJ14" s="417">
        <v>25854.7</v>
      </c>
      <c r="AK14" s="417">
        <v>28625.8</v>
      </c>
      <c r="AL14" s="417">
        <v>107961</v>
      </c>
      <c r="AM14" s="417">
        <v>335815.9</v>
      </c>
      <c r="AN14" s="417">
        <v>344577.10000000003</v>
      </c>
      <c r="AO14" s="417">
        <f t="shared" si="0"/>
        <v>-104920.90000000002</v>
      </c>
      <c r="AP14" s="919" t="s">
        <v>1263</v>
      </c>
    </row>
    <row r="15" spans="1:42" s="265" customFormat="1" ht="10.7" customHeight="1">
      <c r="A15" s="507" t="s">
        <v>1392</v>
      </c>
      <c r="B15" s="396">
        <v>1160.0999999999999</v>
      </c>
      <c r="C15" s="396">
        <v>6276.5</v>
      </c>
      <c r="D15" s="396">
        <v>21.6</v>
      </c>
      <c r="E15" s="396">
        <v>5805.8</v>
      </c>
      <c r="F15" s="396">
        <v>4087.7</v>
      </c>
      <c r="G15" s="396">
        <v>185411.8</v>
      </c>
      <c r="H15" s="396">
        <v>72.099999999999994</v>
      </c>
      <c r="I15" s="396">
        <v>13.6</v>
      </c>
      <c r="J15" s="396">
        <v>0</v>
      </c>
      <c r="K15" s="396">
        <v>64330.599999999977</v>
      </c>
      <c r="L15" s="396">
        <v>267179.8</v>
      </c>
      <c r="M15" s="396">
        <v>14319</v>
      </c>
      <c r="N15" s="396">
        <v>10064.5</v>
      </c>
      <c r="O15" s="396">
        <v>24383.5</v>
      </c>
      <c r="P15" s="396">
        <v>2371.4</v>
      </c>
      <c r="Q15" s="396">
        <v>2362.9</v>
      </c>
      <c r="R15" s="396">
        <v>4176.3</v>
      </c>
      <c r="S15" s="396">
        <v>14447.8</v>
      </c>
      <c r="T15" s="396">
        <v>3349</v>
      </c>
      <c r="U15" s="831" t="s">
        <v>1392</v>
      </c>
      <c r="V15" s="395" t="s">
        <v>1392</v>
      </c>
      <c r="W15" s="396">
        <v>7766.4</v>
      </c>
      <c r="X15" s="396">
        <v>4264</v>
      </c>
      <c r="Y15" s="396">
        <v>4577.5</v>
      </c>
      <c r="Z15" s="396">
        <v>34122.800000000003</v>
      </c>
      <c r="AA15" s="396">
        <v>17548</v>
      </c>
      <c r="AB15" s="396">
        <v>1251.8</v>
      </c>
      <c r="AC15" s="396">
        <v>7141.9</v>
      </c>
      <c r="AD15" s="396">
        <v>5078.1000000000004</v>
      </c>
      <c r="AE15" s="396">
        <v>17772.7</v>
      </c>
      <c r="AF15" s="396">
        <v>24249.8</v>
      </c>
      <c r="AG15" s="396">
        <v>15664.1</v>
      </c>
      <c r="AH15" s="396">
        <v>37509.1</v>
      </c>
      <c r="AI15" s="396">
        <v>5682</v>
      </c>
      <c r="AJ15" s="396">
        <v>31459</v>
      </c>
      <c r="AK15" s="396">
        <v>37712.400000000001</v>
      </c>
      <c r="AL15" s="396">
        <v>132150.9</v>
      </c>
      <c r="AM15" s="396">
        <v>410657.9</v>
      </c>
      <c r="AN15" s="396">
        <v>435041.4</v>
      </c>
      <c r="AO15" s="668">
        <f t="shared" si="0"/>
        <v>-167861.60000000003</v>
      </c>
      <c r="AP15" s="831" t="s">
        <v>1392</v>
      </c>
    </row>
    <row r="16" spans="1:42" s="265" customFormat="1" ht="10.7" customHeight="1">
      <c r="A16" s="1402" t="s">
        <v>1511</v>
      </c>
      <c r="B16" s="417">
        <v>964.2</v>
      </c>
      <c r="C16" s="417">
        <v>5468.7</v>
      </c>
      <c r="D16" s="417">
        <v>21.3</v>
      </c>
      <c r="E16" s="306">
        <v>5137.1000000000004</v>
      </c>
      <c r="F16" s="417">
        <v>3556.3</v>
      </c>
      <c r="G16" s="417">
        <v>212355.7</v>
      </c>
      <c r="H16" s="417">
        <v>181.2</v>
      </c>
      <c r="I16" s="417">
        <v>22.2</v>
      </c>
      <c r="J16" s="417">
        <v>0</v>
      </c>
      <c r="K16" s="417">
        <v>69277.199999999983</v>
      </c>
      <c r="L16" s="417">
        <v>296983.90000000002</v>
      </c>
      <c r="M16" s="417">
        <v>1043.9000000000001</v>
      </c>
      <c r="N16" s="417">
        <v>9641.6</v>
      </c>
      <c r="O16" s="417">
        <v>10685.5</v>
      </c>
      <c r="P16" s="417">
        <v>2820.7</v>
      </c>
      <c r="Q16" s="417">
        <v>2645.2</v>
      </c>
      <c r="R16" s="417">
        <v>5491.6</v>
      </c>
      <c r="S16" s="417">
        <v>14431.5</v>
      </c>
      <c r="T16" s="417">
        <v>3456.9</v>
      </c>
      <c r="U16" s="1403" t="s">
        <v>1511</v>
      </c>
      <c r="V16" s="1402" t="s">
        <v>1511</v>
      </c>
      <c r="W16" s="417">
        <v>5431.6</v>
      </c>
      <c r="X16" s="417">
        <v>6020.7</v>
      </c>
      <c r="Y16" s="417">
        <v>7816.6</v>
      </c>
      <c r="Z16" s="417">
        <v>48167.3</v>
      </c>
      <c r="AA16" s="417">
        <v>18668.2</v>
      </c>
      <c r="AB16" s="417">
        <v>1231.2</v>
      </c>
      <c r="AC16" s="417">
        <v>9402.2000000000007</v>
      </c>
      <c r="AD16" s="417">
        <v>5824.5</v>
      </c>
      <c r="AE16" s="417">
        <v>20030.7</v>
      </c>
      <c r="AF16" s="417">
        <v>24638.3</v>
      </c>
      <c r="AG16" s="417">
        <v>17750.5</v>
      </c>
      <c r="AH16" s="417">
        <v>41881.9</v>
      </c>
      <c r="AI16" s="417">
        <v>6817.7</v>
      </c>
      <c r="AJ16" s="417">
        <v>36363.199999999997</v>
      </c>
      <c r="AK16" s="417">
        <v>43242.5</v>
      </c>
      <c r="AL16" s="417">
        <v>138259.1</v>
      </c>
      <c r="AM16" s="417">
        <v>460392.1</v>
      </c>
      <c r="AN16" s="417">
        <v>471077.6</v>
      </c>
      <c r="AO16" s="417">
        <f t="shared" si="0"/>
        <v>-174093.69999999995</v>
      </c>
      <c r="AP16" s="1403" t="s">
        <v>1511</v>
      </c>
    </row>
    <row r="17" spans="1:42" s="276" customFormat="1" ht="10.7" customHeight="1">
      <c r="A17" s="148" t="s">
        <v>1602</v>
      </c>
      <c r="B17" s="396">
        <v>1040</v>
      </c>
      <c r="C17" s="396">
        <v>6146.1</v>
      </c>
      <c r="D17" s="396">
        <v>20.9</v>
      </c>
      <c r="E17" s="396">
        <v>4398.1000000000004</v>
      </c>
      <c r="F17" s="396">
        <v>3442.8</v>
      </c>
      <c r="G17" s="396">
        <v>190874.7</v>
      </c>
      <c r="H17" s="396">
        <v>0.1</v>
      </c>
      <c r="I17" s="396">
        <v>0</v>
      </c>
      <c r="J17" s="396">
        <v>4.5999999999999996</v>
      </c>
      <c r="K17" s="396">
        <v>59526.199999999983</v>
      </c>
      <c r="L17" s="396">
        <v>265453.5</v>
      </c>
      <c r="M17" s="396">
        <v>129.4</v>
      </c>
      <c r="N17" s="396">
        <v>12646</v>
      </c>
      <c r="O17" s="396">
        <v>12775.4</v>
      </c>
      <c r="P17" s="396">
        <v>2959.7</v>
      </c>
      <c r="Q17" s="396">
        <v>2773.6</v>
      </c>
      <c r="R17" s="396">
        <v>8209.6</v>
      </c>
      <c r="S17" s="396">
        <v>12283</v>
      </c>
      <c r="T17" s="396">
        <v>5004.1000000000004</v>
      </c>
      <c r="U17" s="215" t="s">
        <v>1602</v>
      </c>
      <c r="V17" s="168" t="s">
        <v>1602</v>
      </c>
      <c r="W17" s="396">
        <v>5339.5</v>
      </c>
      <c r="X17" s="396">
        <v>5611.1</v>
      </c>
      <c r="Y17" s="396">
        <v>3970.2</v>
      </c>
      <c r="Z17" s="396">
        <v>43098.400000000001</v>
      </c>
      <c r="AA17" s="396">
        <v>18777.7</v>
      </c>
      <c r="AB17" s="396">
        <v>1275.9000000000001</v>
      </c>
      <c r="AC17" s="396">
        <v>8034.1</v>
      </c>
      <c r="AD17" s="396">
        <v>5221.2</v>
      </c>
      <c r="AE17" s="396">
        <v>19694.5</v>
      </c>
      <c r="AF17" s="396">
        <v>22525.4</v>
      </c>
      <c r="AG17" s="396">
        <v>14213.6</v>
      </c>
      <c r="AH17" s="396">
        <v>35771.4</v>
      </c>
      <c r="AI17" s="396">
        <v>6134.2</v>
      </c>
      <c r="AJ17" s="396">
        <v>33033.300000000003</v>
      </c>
      <c r="AK17" s="396">
        <v>31480.5</v>
      </c>
      <c r="AL17" s="396">
        <v>114666.2</v>
      </c>
      <c r="AM17" s="396">
        <v>400077.2</v>
      </c>
      <c r="AN17" s="396">
        <v>412852.60000000003</v>
      </c>
      <c r="AO17" s="668">
        <f t="shared" si="0"/>
        <v>-147399.10000000003</v>
      </c>
      <c r="AP17" s="215" t="s">
        <v>1602</v>
      </c>
    </row>
    <row r="18" spans="1:42" s="276" customFormat="1" ht="10.7" customHeight="1">
      <c r="A18" s="329" t="s">
        <v>1668</v>
      </c>
      <c r="B18" s="934">
        <v>1051.4000000000001</v>
      </c>
      <c r="C18" s="934">
        <v>8249.4</v>
      </c>
      <c r="D18" s="934">
        <v>27.7</v>
      </c>
      <c r="E18" s="934">
        <v>7023.3</v>
      </c>
      <c r="F18" s="934">
        <v>3485.2</v>
      </c>
      <c r="G18" s="934">
        <v>238623.4</v>
      </c>
      <c r="H18" s="934">
        <v>86.6</v>
      </c>
      <c r="I18" s="934">
        <v>1.3</v>
      </c>
      <c r="J18" s="934">
        <v>108</v>
      </c>
      <c r="K18" s="934">
        <v>29423.799999999988</v>
      </c>
      <c r="L18" s="934">
        <v>288080.09999999998</v>
      </c>
      <c r="M18" s="934">
        <v>3159.8</v>
      </c>
      <c r="N18" s="934">
        <v>13211.6</v>
      </c>
      <c r="O18" s="934">
        <v>16371.400000000001</v>
      </c>
      <c r="P18" s="934">
        <v>2633.2</v>
      </c>
      <c r="Q18" s="934">
        <v>3391</v>
      </c>
      <c r="R18" s="934">
        <v>10913.8</v>
      </c>
      <c r="S18" s="934">
        <v>15142.9</v>
      </c>
      <c r="T18" s="934">
        <v>5578.4</v>
      </c>
      <c r="U18" s="322" t="s">
        <v>1668</v>
      </c>
      <c r="V18" s="321" t="s">
        <v>1668</v>
      </c>
      <c r="W18" s="934">
        <v>6923.6</v>
      </c>
      <c r="X18" s="934">
        <v>6565.8</v>
      </c>
      <c r="Y18" s="934">
        <v>6861.6</v>
      </c>
      <c r="Z18" s="934">
        <v>41886.6</v>
      </c>
      <c r="AA18" s="934">
        <v>22966.7</v>
      </c>
      <c r="AB18" s="934">
        <v>2474.4</v>
      </c>
      <c r="AC18" s="934">
        <v>8259.7999999999993</v>
      </c>
      <c r="AD18" s="934">
        <v>6329.7</v>
      </c>
      <c r="AE18" s="934">
        <v>25589.4</v>
      </c>
      <c r="AF18" s="934">
        <v>26634</v>
      </c>
      <c r="AG18" s="934">
        <v>18080.7</v>
      </c>
      <c r="AH18" s="934">
        <v>35694.1</v>
      </c>
      <c r="AI18" s="934">
        <v>6154.3</v>
      </c>
      <c r="AJ18" s="934">
        <v>35392.5</v>
      </c>
      <c r="AK18" s="934">
        <v>25701.7</v>
      </c>
      <c r="AL18" s="934">
        <v>131816</v>
      </c>
      <c r="AM18" s="934">
        <v>444990.2</v>
      </c>
      <c r="AN18" s="934">
        <v>461361.60000000003</v>
      </c>
      <c r="AO18" s="417">
        <f t="shared" si="0"/>
        <v>-173281.50000000006</v>
      </c>
      <c r="AP18" s="322" t="s">
        <v>1668</v>
      </c>
    </row>
    <row r="19" spans="1:42" s="276" customFormat="1" ht="10.7" customHeight="1">
      <c r="A19" s="1773" t="s">
        <v>2018</v>
      </c>
      <c r="B19" s="933">
        <f>SUM(B20:B31)</f>
        <v>1571.2</v>
      </c>
      <c r="C19" s="933">
        <f t="shared" ref="C19:L19" si="1">SUM(C20:C31)</f>
        <v>7367.2999999999993</v>
      </c>
      <c r="D19" s="933">
        <f t="shared" si="1"/>
        <v>18.399999999999999</v>
      </c>
      <c r="E19" s="933">
        <f t="shared" si="1"/>
        <v>10258.299999999999</v>
      </c>
      <c r="F19" s="933">
        <f t="shared" si="1"/>
        <v>4013.1</v>
      </c>
      <c r="G19" s="933">
        <f t="shared" si="1"/>
        <v>315958.39999999997</v>
      </c>
      <c r="H19" s="933">
        <f t="shared" si="1"/>
        <v>1.2</v>
      </c>
      <c r="I19" s="933">
        <f t="shared" si="1"/>
        <v>1.2</v>
      </c>
      <c r="J19" s="933">
        <f t="shared" si="1"/>
        <v>115.99999999999994</v>
      </c>
      <c r="K19" s="933">
        <f t="shared" si="1"/>
        <v>37671.100000000057</v>
      </c>
      <c r="L19" s="933">
        <f t="shared" si="1"/>
        <v>376976.20000000007</v>
      </c>
      <c r="M19" s="933">
        <f t="shared" ref="M19:T19" si="2">SUM(M20:M31)</f>
        <v>4680</v>
      </c>
      <c r="N19" s="933">
        <f t="shared" si="2"/>
        <v>17796.999999999996</v>
      </c>
      <c r="O19" s="933">
        <f t="shared" si="2"/>
        <v>22477.000000000004</v>
      </c>
      <c r="P19" s="933">
        <f t="shared" si="2"/>
        <v>3293.2</v>
      </c>
      <c r="Q19" s="933">
        <f t="shared" si="2"/>
        <v>2910.7000000000003</v>
      </c>
      <c r="R19" s="933">
        <f t="shared" si="2"/>
        <v>13854.100000000002</v>
      </c>
      <c r="S19" s="933">
        <f t="shared" si="2"/>
        <v>22006.300000000003</v>
      </c>
      <c r="T19" s="933">
        <f t="shared" si="2"/>
        <v>6184.4999999999991</v>
      </c>
      <c r="U19" s="489" t="s">
        <v>2018</v>
      </c>
      <c r="V19" s="105" t="s">
        <v>2018</v>
      </c>
      <c r="W19" s="933">
        <f t="shared" ref="W19:AO19" si="3">SUM(W20:W31)</f>
        <v>10237.1</v>
      </c>
      <c r="X19" s="933">
        <f t="shared" si="3"/>
        <v>6627.4000000000005</v>
      </c>
      <c r="Y19" s="933">
        <f t="shared" si="3"/>
        <v>7599.2000000000007</v>
      </c>
      <c r="Z19" s="933">
        <f t="shared" si="3"/>
        <v>96956.7</v>
      </c>
      <c r="AA19" s="933">
        <f t="shared" si="3"/>
        <v>28308.100000000002</v>
      </c>
      <c r="AB19" s="933">
        <f t="shared" si="3"/>
        <v>5881.4999999999991</v>
      </c>
      <c r="AC19" s="933">
        <f t="shared" si="3"/>
        <v>24973.3</v>
      </c>
      <c r="AD19" s="933">
        <f t="shared" si="3"/>
        <v>8314.6</v>
      </c>
      <c r="AE19" s="933">
        <f t="shared" si="3"/>
        <v>34454.5</v>
      </c>
      <c r="AF19" s="933">
        <f t="shared" si="3"/>
        <v>35771.9</v>
      </c>
      <c r="AG19" s="933">
        <f t="shared" si="3"/>
        <v>40439.700000000004</v>
      </c>
      <c r="AH19" s="933">
        <f t="shared" si="3"/>
        <v>67384.799999999988</v>
      </c>
      <c r="AI19" s="933">
        <f t="shared" si="3"/>
        <v>10875.800000000001</v>
      </c>
      <c r="AJ19" s="933">
        <f t="shared" si="3"/>
        <v>51889.700000000004</v>
      </c>
      <c r="AK19" s="933">
        <f t="shared" si="3"/>
        <v>42724.800000000003</v>
      </c>
      <c r="AL19" s="933">
        <f t="shared" si="3"/>
        <v>139229.49999999997</v>
      </c>
      <c r="AM19" s="933">
        <f t="shared" si="3"/>
        <v>659917.4</v>
      </c>
      <c r="AN19" s="933">
        <f t="shared" si="3"/>
        <v>682394.4</v>
      </c>
      <c r="AO19" s="933">
        <f t="shared" si="3"/>
        <v>-305418.19999999995</v>
      </c>
      <c r="AP19" s="489" t="s">
        <v>2018</v>
      </c>
    </row>
    <row r="20" spans="1:42" s="276" customFormat="1" ht="10.7" customHeight="1">
      <c r="A20" s="328" t="s">
        <v>576</v>
      </c>
      <c r="B20" s="306">
        <v>67.5</v>
      </c>
      <c r="C20" s="306">
        <v>422.1</v>
      </c>
      <c r="D20" s="306">
        <v>0.7</v>
      </c>
      <c r="E20" s="306">
        <v>619.1</v>
      </c>
      <c r="F20" s="306">
        <v>304.60000000000002</v>
      </c>
      <c r="G20" s="306">
        <v>17428.900000000001</v>
      </c>
      <c r="H20" s="306">
        <v>0.1</v>
      </c>
      <c r="I20" s="306">
        <v>0.1</v>
      </c>
      <c r="J20" s="306">
        <v>0.1</v>
      </c>
      <c r="K20" s="306">
        <f>L20-SUM(B20:J20)</f>
        <v>2156.0000000000036</v>
      </c>
      <c r="L20" s="306">
        <v>20999.200000000001</v>
      </c>
      <c r="M20" s="306">
        <v>56.5</v>
      </c>
      <c r="N20" s="306">
        <v>1009.3</v>
      </c>
      <c r="O20" s="306">
        <f>M20+N20</f>
        <v>1065.8</v>
      </c>
      <c r="P20" s="306">
        <v>226.6</v>
      </c>
      <c r="Q20" s="306">
        <v>247.4</v>
      </c>
      <c r="R20" s="306">
        <v>1344.2</v>
      </c>
      <c r="S20" s="306">
        <v>842.4</v>
      </c>
      <c r="T20" s="306">
        <v>324.3</v>
      </c>
      <c r="U20" s="320" t="s">
        <v>576</v>
      </c>
      <c r="V20" s="319" t="s">
        <v>576</v>
      </c>
      <c r="W20" s="306">
        <v>587.29999999999995</v>
      </c>
      <c r="X20" s="306">
        <v>361.5</v>
      </c>
      <c r="Y20" s="306">
        <v>455</v>
      </c>
      <c r="Z20" s="306">
        <v>4624.1000000000004</v>
      </c>
      <c r="AA20" s="306">
        <v>1841.2</v>
      </c>
      <c r="AB20" s="306">
        <v>400.6</v>
      </c>
      <c r="AC20" s="306">
        <v>419.9</v>
      </c>
      <c r="AD20" s="306">
        <v>529.29999999999995</v>
      </c>
      <c r="AE20" s="306">
        <v>2427</v>
      </c>
      <c r="AF20" s="306">
        <v>2335</v>
      </c>
      <c r="AG20" s="306">
        <v>2130.5</v>
      </c>
      <c r="AH20" s="306">
        <v>3475.2</v>
      </c>
      <c r="AI20" s="306">
        <v>609.70000000000005</v>
      </c>
      <c r="AJ20" s="306">
        <v>2787.6</v>
      </c>
      <c r="AK20" s="306">
        <v>2797.6</v>
      </c>
      <c r="AL20" s="306">
        <v>7974.7</v>
      </c>
      <c r="AM20" s="306">
        <v>36741.1</v>
      </c>
      <c r="AN20" s="306">
        <v>37806.9</v>
      </c>
      <c r="AO20" s="306">
        <f t="shared" ref="AO20:AO39" si="4">L20-AN20</f>
        <v>-16807.7</v>
      </c>
      <c r="AP20" s="320" t="s">
        <v>576</v>
      </c>
    </row>
    <row r="21" spans="1:42" s="276" customFormat="1" ht="10.7" customHeight="1">
      <c r="A21" s="169" t="s">
        <v>112</v>
      </c>
      <c r="B21" s="241">
        <v>65.8</v>
      </c>
      <c r="C21" s="241">
        <v>595.1</v>
      </c>
      <c r="D21" s="241">
        <v>1.4</v>
      </c>
      <c r="E21" s="241">
        <v>915.5</v>
      </c>
      <c r="F21" s="241">
        <v>416.3</v>
      </c>
      <c r="G21" s="241">
        <v>24126</v>
      </c>
      <c r="H21" s="241">
        <v>0.1</v>
      </c>
      <c r="I21" s="241">
        <v>0.1</v>
      </c>
      <c r="J21" s="241">
        <v>114.9</v>
      </c>
      <c r="K21" s="241">
        <f t="shared" ref="K21:K27" si="5">L21-SUM(B21:J21)</f>
        <v>3147.1000000000022</v>
      </c>
      <c r="L21" s="241">
        <v>29382.3</v>
      </c>
      <c r="M21" s="241">
        <v>492.6</v>
      </c>
      <c r="N21" s="241">
        <v>956.4</v>
      </c>
      <c r="O21" s="241">
        <f t="shared" ref="O21:O31" si="6">M21+N21</f>
        <v>1449</v>
      </c>
      <c r="P21" s="241">
        <v>309.89999999999998</v>
      </c>
      <c r="Q21" s="241">
        <v>258.2</v>
      </c>
      <c r="R21" s="241">
        <v>871.7</v>
      </c>
      <c r="S21" s="241">
        <v>1269.7</v>
      </c>
      <c r="T21" s="241">
        <v>422.7</v>
      </c>
      <c r="U21" s="215" t="s">
        <v>112</v>
      </c>
      <c r="V21" s="168" t="s">
        <v>112</v>
      </c>
      <c r="W21" s="241">
        <v>479.9</v>
      </c>
      <c r="X21" s="241">
        <v>490.9</v>
      </c>
      <c r="Y21" s="241">
        <v>346.7</v>
      </c>
      <c r="Z21" s="241">
        <v>6237</v>
      </c>
      <c r="AA21" s="241">
        <v>2127</v>
      </c>
      <c r="AB21" s="241">
        <v>692.7</v>
      </c>
      <c r="AC21" s="241">
        <v>989</v>
      </c>
      <c r="AD21" s="241">
        <v>671.3</v>
      </c>
      <c r="AE21" s="241">
        <v>2901.9</v>
      </c>
      <c r="AF21" s="241">
        <v>2763.9</v>
      </c>
      <c r="AG21" s="241">
        <v>3078.1</v>
      </c>
      <c r="AH21" s="241">
        <v>5127.1000000000004</v>
      </c>
      <c r="AI21" s="241">
        <v>767.1</v>
      </c>
      <c r="AJ21" s="241">
        <v>3405.4</v>
      </c>
      <c r="AK21" s="241">
        <v>2393.1</v>
      </c>
      <c r="AL21" s="241">
        <v>10370.700000000001</v>
      </c>
      <c r="AM21" s="241">
        <v>45974</v>
      </c>
      <c r="AN21" s="241">
        <v>47423</v>
      </c>
      <c r="AO21" s="241">
        <f t="shared" si="4"/>
        <v>-18040.7</v>
      </c>
      <c r="AP21" s="215" t="s">
        <v>112</v>
      </c>
    </row>
    <row r="22" spans="1:42" s="276" customFormat="1" ht="10.7" customHeight="1">
      <c r="A22" s="328" t="s">
        <v>571</v>
      </c>
      <c r="B22" s="306">
        <v>104.3</v>
      </c>
      <c r="C22" s="306">
        <v>541.6</v>
      </c>
      <c r="D22" s="306">
        <v>3.4</v>
      </c>
      <c r="E22" s="306">
        <v>766.5</v>
      </c>
      <c r="F22" s="306">
        <v>377.3</v>
      </c>
      <c r="G22" s="306">
        <v>25179.1</v>
      </c>
      <c r="H22" s="306">
        <v>0.1</v>
      </c>
      <c r="I22" s="306">
        <v>0.1</v>
      </c>
      <c r="J22" s="306">
        <v>0.1</v>
      </c>
      <c r="K22" s="306">
        <f t="shared" si="5"/>
        <v>3216.6000000000058</v>
      </c>
      <c r="L22" s="306">
        <v>30189.1</v>
      </c>
      <c r="M22" s="306">
        <v>436.9</v>
      </c>
      <c r="N22" s="306">
        <v>1054.7</v>
      </c>
      <c r="O22" s="306">
        <f t="shared" si="6"/>
        <v>1491.6</v>
      </c>
      <c r="P22" s="306">
        <v>289.5</v>
      </c>
      <c r="Q22" s="306">
        <v>210.5</v>
      </c>
      <c r="R22" s="306">
        <v>649.1</v>
      </c>
      <c r="S22" s="306">
        <v>1801.7</v>
      </c>
      <c r="T22" s="306">
        <v>364.3</v>
      </c>
      <c r="U22" s="320" t="s">
        <v>571</v>
      </c>
      <c r="V22" s="319" t="s">
        <v>571</v>
      </c>
      <c r="W22" s="306">
        <v>403.1</v>
      </c>
      <c r="X22" s="306">
        <v>399.3</v>
      </c>
      <c r="Y22" s="306">
        <v>0</v>
      </c>
      <c r="Z22" s="306">
        <v>4557</v>
      </c>
      <c r="AA22" s="306">
        <v>2307.1</v>
      </c>
      <c r="AB22" s="306">
        <v>2714.5</v>
      </c>
      <c r="AC22" s="306">
        <v>3600.5</v>
      </c>
      <c r="AD22" s="306">
        <v>673.2</v>
      </c>
      <c r="AE22" s="306">
        <v>2745</v>
      </c>
      <c r="AF22" s="306">
        <v>2524</v>
      </c>
      <c r="AG22" s="306">
        <v>3482.5</v>
      </c>
      <c r="AH22" s="306">
        <v>5345</v>
      </c>
      <c r="AI22" s="306">
        <v>769.6</v>
      </c>
      <c r="AJ22" s="306">
        <v>3750.5</v>
      </c>
      <c r="AK22" s="306">
        <v>9321.2000000000007</v>
      </c>
      <c r="AL22" s="306">
        <v>10683.1</v>
      </c>
      <c r="AM22" s="306">
        <v>56590.700000000004</v>
      </c>
      <c r="AN22" s="306">
        <v>58082.3</v>
      </c>
      <c r="AO22" s="306">
        <f t="shared" si="4"/>
        <v>-27893.200000000004</v>
      </c>
      <c r="AP22" s="320" t="s">
        <v>571</v>
      </c>
    </row>
    <row r="23" spans="1:42" s="276" customFormat="1" ht="10.7" customHeight="1">
      <c r="A23" s="169" t="s">
        <v>578</v>
      </c>
      <c r="B23" s="241">
        <v>167.8</v>
      </c>
      <c r="C23" s="241">
        <v>560.20000000000005</v>
      </c>
      <c r="D23" s="241">
        <v>1.8</v>
      </c>
      <c r="E23" s="241">
        <v>731.8</v>
      </c>
      <c r="F23" s="241">
        <v>442.1</v>
      </c>
      <c r="G23" s="241">
        <v>24122.6</v>
      </c>
      <c r="H23" s="241">
        <v>0.1</v>
      </c>
      <c r="I23" s="241">
        <v>0.1</v>
      </c>
      <c r="J23" s="241">
        <v>0.1</v>
      </c>
      <c r="K23" s="241">
        <f t="shared" si="5"/>
        <v>2955.6000000000058</v>
      </c>
      <c r="L23" s="241">
        <v>28982.2</v>
      </c>
      <c r="M23" s="241">
        <v>1183.9000000000001</v>
      </c>
      <c r="N23" s="241">
        <v>1831</v>
      </c>
      <c r="O23" s="241">
        <f t="shared" si="6"/>
        <v>3014.9</v>
      </c>
      <c r="P23" s="241">
        <v>127.8</v>
      </c>
      <c r="Q23" s="241">
        <v>173.5</v>
      </c>
      <c r="R23" s="241">
        <v>628.79999999999995</v>
      </c>
      <c r="S23" s="241">
        <v>2317.1</v>
      </c>
      <c r="T23" s="241">
        <v>341.8</v>
      </c>
      <c r="U23" s="215" t="s">
        <v>578</v>
      </c>
      <c r="V23" s="168" t="s">
        <v>578</v>
      </c>
      <c r="W23" s="241">
        <v>878.2</v>
      </c>
      <c r="X23" s="241">
        <v>482.5</v>
      </c>
      <c r="Y23" s="241">
        <v>944.5</v>
      </c>
      <c r="Z23" s="241">
        <v>7301.8</v>
      </c>
      <c r="AA23" s="241">
        <v>2147.3000000000002</v>
      </c>
      <c r="AB23" s="241">
        <v>916.6</v>
      </c>
      <c r="AC23" s="241">
        <v>1859.6</v>
      </c>
      <c r="AD23" s="241">
        <v>582.6</v>
      </c>
      <c r="AE23" s="241">
        <v>2808.8</v>
      </c>
      <c r="AF23" s="241">
        <v>2100.1999999999998</v>
      </c>
      <c r="AG23" s="241">
        <v>3242.6</v>
      </c>
      <c r="AH23" s="241">
        <v>4612</v>
      </c>
      <c r="AI23" s="241">
        <v>710.7</v>
      </c>
      <c r="AJ23" s="241">
        <v>3258.4</v>
      </c>
      <c r="AK23" s="241">
        <v>2622</v>
      </c>
      <c r="AL23" s="241">
        <v>10335.200000000001</v>
      </c>
      <c r="AM23" s="241">
        <v>48392</v>
      </c>
      <c r="AN23" s="241">
        <v>51406.9</v>
      </c>
      <c r="AO23" s="241">
        <f t="shared" si="4"/>
        <v>-22424.7</v>
      </c>
      <c r="AP23" s="215" t="s">
        <v>578</v>
      </c>
    </row>
    <row r="24" spans="1:42" s="276" customFormat="1" ht="10.7" customHeight="1">
      <c r="A24" s="328" t="s">
        <v>579</v>
      </c>
      <c r="B24" s="306">
        <v>191</v>
      </c>
      <c r="C24" s="306">
        <v>600.70000000000005</v>
      </c>
      <c r="D24" s="306">
        <v>1.2</v>
      </c>
      <c r="E24" s="306">
        <v>757.9</v>
      </c>
      <c r="F24" s="306">
        <v>478.5</v>
      </c>
      <c r="G24" s="306">
        <v>23775.4</v>
      </c>
      <c r="H24" s="306">
        <v>0.1</v>
      </c>
      <c r="I24" s="306">
        <v>0.1</v>
      </c>
      <c r="J24" s="306">
        <v>0.1</v>
      </c>
      <c r="K24" s="306">
        <f t="shared" si="5"/>
        <v>3351.3000000000029</v>
      </c>
      <c r="L24" s="306">
        <v>29156.3</v>
      </c>
      <c r="M24" s="306">
        <v>648.6</v>
      </c>
      <c r="N24" s="306">
        <v>1649.5</v>
      </c>
      <c r="O24" s="306">
        <f t="shared" si="6"/>
        <v>2298.1</v>
      </c>
      <c r="P24" s="306">
        <v>293.3</v>
      </c>
      <c r="Q24" s="306">
        <v>198.1</v>
      </c>
      <c r="R24" s="306">
        <v>1648</v>
      </c>
      <c r="S24" s="306">
        <v>2337.3000000000002</v>
      </c>
      <c r="T24" s="306">
        <v>598.79999999999995</v>
      </c>
      <c r="U24" s="320" t="s">
        <v>579</v>
      </c>
      <c r="V24" s="319" t="s">
        <v>579</v>
      </c>
      <c r="W24" s="306">
        <v>667.7</v>
      </c>
      <c r="X24" s="306">
        <v>469.7</v>
      </c>
      <c r="Y24" s="306">
        <v>448.7</v>
      </c>
      <c r="Z24" s="306">
        <v>10483.200000000001</v>
      </c>
      <c r="AA24" s="306">
        <v>2187.1</v>
      </c>
      <c r="AB24" s="306">
        <v>175.4</v>
      </c>
      <c r="AC24" s="306">
        <v>1487</v>
      </c>
      <c r="AD24" s="306">
        <v>612.29999999999995</v>
      </c>
      <c r="AE24" s="306">
        <v>2601.6</v>
      </c>
      <c r="AF24" s="306">
        <v>2399</v>
      </c>
      <c r="AG24" s="306">
        <v>3151</v>
      </c>
      <c r="AH24" s="306">
        <v>5215.8</v>
      </c>
      <c r="AI24" s="306">
        <v>793.3</v>
      </c>
      <c r="AJ24" s="306">
        <v>4270.7</v>
      </c>
      <c r="AK24" s="306">
        <v>3562</v>
      </c>
      <c r="AL24" s="306">
        <v>11888.6</v>
      </c>
      <c r="AM24" s="306">
        <v>55488.6</v>
      </c>
      <c r="AN24" s="306">
        <v>57786.7</v>
      </c>
      <c r="AO24" s="306">
        <f t="shared" si="4"/>
        <v>-28630.399999999998</v>
      </c>
      <c r="AP24" s="320" t="s">
        <v>579</v>
      </c>
    </row>
    <row r="25" spans="1:42" s="276" customFormat="1" ht="10.7" customHeight="1">
      <c r="A25" s="169" t="s">
        <v>572</v>
      </c>
      <c r="B25" s="241">
        <v>238.1</v>
      </c>
      <c r="C25" s="241">
        <v>758.4</v>
      </c>
      <c r="D25" s="241">
        <v>1.2</v>
      </c>
      <c r="E25" s="241">
        <v>919.6</v>
      </c>
      <c r="F25" s="241">
        <v>422.7</v>
      </c>
      <c r="G25" s="241">
        <v>28410</v>
      </c>
      <c r="H25" s="241">
        <v>0.1</v>
      </c>
      <c r="I25" s="241">
        <v>0.1</v>
      </c>
      <c r="J25" s="241">
        <v>0.1</v>
      </c>
      <c r="K25" s="241">
        <f t="shared" si="5"/>
        <v>3709.2000000000044</v>
      </c>
      <c r="L25" s="241">
        <v>34459.5</v>
      </c>
      <c r="M25" s="241">
        <v>951.9</v>
      </c>
      <c r="N25" s="241">
        <v>2279.9</v>
      </c>
      <c r="O25" s="241">
        <f t="shared" si="6"/>
        <v>3231.8</v>
      </c>
      <c r="P25" s="241">
        <v>262</v>
      </c>
      <c r="Q25" s="241">
        <v>210.4</v>
      </c>
      <c r="R25" s="241">
        <v>1907.3</v>
      </c>
      <c r="S25" s="241">
        <v>1815.5</v>
      </c>
      <c r="T25" s="241">
        <v>239.5</v>
      </c>
      <c r="U25" s="215" t="s">
        <v>572</v>
      </c>
      <c r="V25" s="168" t="s">
        <v>572</v>
      </c>
      <c r="W25" s="241">
        <v>1179.4000000000001</v>
      </c>
      <c r="X25" s="241">
        <v>568.4</v>
      </c>
      <c r="Y25" s="241">
        <v>0</v>
      </c>
      <c r="Z25" s="241">
        <v>6914.6</v>
      </c>
      <c r="AA25" s="241">
        <v>2523.5</v>
      </c>
      <c r="AB25" s="241">
        <v>115.5</v>
      </c>
      <c r="AC25" s="241">
        <v>1870.5</v>
      </c>
      <c r="AD25" s="241">
        <v>747.3</v>
      </c>
      <c r="AE25" s="241">
        <v>3057.4</v>
      </c>
      <c r="AF25" s="241">
        <v>3051.3</v>
      </c>
      <c r="AG25" s="241">
        <v>3487.4</v>
      </c>
      <c r="AH25" s="241">
        <v>6020.4</v>
      </c>
      <c r="AI25" s="241">
        <v>998.6</v>
      </c>
      <c r="AJ25" s="241">
        <v>5136.3999999999996</v>
      </c>
      <c r="AK25" s="241">
        <v>5011.8</v>
      </c>
      <c r="AL25" s="241">
        <v>15992.1</v>
      </c>
      <c r="AM25" s="241">
        <v>61109.3</v>
      </c>
      <c r="AN25" s="241">
        <v>64341.100000000006</v>
      </c>
      <c r="AO25" s="241">
        <f t="shared" si="4"/>
        <v>-29881.600000000006</v>
      </c>
      <c r="AP25" s="215" t="s">
        <v>572</v>
      </c>
    </row>
    <row r="26" spans="1:42" s="276" customFormat="1" ht="10.7" customHeight="1">
      <c r="A26" s="328" t="s">
        <v>580</v>
      </c>
      <c r="B26" s="306">
        <v>165.9</v>
      </c>
      <c r="C26" s="306">
        <v>792.6</v>
      </c>
      <c r="D26" s="306">
        <v>1.5</v>
      </c>
      <c r="E26" s="306">
        <v>958.9</v>
      </c>
      <c r="F26" s="306">
        <v>371.6</v>
      </c>
      <c r="G26" s="306">
        <v>26356.3</v>
      </c>
      <c r="H26" s="306">
        <v>0.1</v>
      </c>
      <c r="I26" s="306">
        <v>0.1</v>
      </c>
      <c r="J26" s="306">
        <v>0.1</v>
      </c>
      <c r="K26" s="306">
        <f t="shared" si="5"/>
        <v>2940.6000000000058</v>
      </c>
      <c r="L26" s="306">
        <v>31587.7</v>
      </c>
      <c r="M26" s="306">
        <v>249.6</v>
      </c>
      <c r="N26" s="306">
        <v>1483.4</v>
      </c>
      <c r="O26" s="306">
        <f t="shared" si="6"/>
        <v>1733</v>
      </c>
      <c r="P26" s="306">
        <v>272.8</v>
      </c>
      <c r="Q26" s="306">
        <v>223.9</v>
      </c>
      <c r="R26" s="306">
        <v>712.6</v>
      </c>
      <c r="S26" s="306">
        <v>1502.2</v>
      </c>
      <c r="T26" s="306">
        <v>741.6</v>
      </c>
      <c r="U26" s="320" t="s">
        <v>580</v>
      </c>
      <c r="V26" s="319" t="s">
        <v>580</v>
      </c>
      <c r="W26" s="306">
        <v>893.3</v>
      </c>
      <c r="X26" s="306">
        <v>592.6</v>
      </c>
      <c r="Y26" s="306">
        <v>967.7</v>
      </c>
      <c r="Z26" s="306">
        <v>3871.7</v>
      </c>
      <c r="AA26" s="306">
        <v>2401.6</v>
      </c>
      <c r="AB26" s="306">
        <v>183.2</v>
      </c>
      <c r="AC26" s="306">
        <v>6067.9</v>
      </c>
      <c r="AD26" s="306">
        <v>727.2</v>
      </c>
      <c r="AE26" s="306">
        <v>2757.7</v>
      </c>
      <c r="AF26" s="306">
        <v>3426.8</v>
      </c>
      <c r="AG26" s="306">
        <v>3979</v>
      </c>
      <c r="AH26" s="306">
        <v>6280.7</v>
      </c>
      <c r="AI26" s="306">
        <v>989.9</v>
      </c>
      <c r="AJ26" s="306">
        <v>4305.1000000000004</v>
      </c>
      <c r="AK26" s="306">
        <v>2945.2</v>
      </c>
      <c r="AL26" s="306">
        <v>11758.2</v>
      </c>
      <c r="AM26" s="306">
        <v>55600.899999999994</v>
      </c>
      <c r="AN26" s="306">
        <v>57333.899999999994</v>
      </c>
      <c r="AO26" s="306">
        <f t="shared" si="4"/>
        <v>-25746.199999999993</v>
      </c>
      <c r="AP26" s="320" t="s">
        <v>580</v>
      </c>
    </row>
    <row r="27" spans="1:42" s="276" customFormat="1" ht="10.7" customHeight="1">
      <c r="A27" s="169" t="s">
        <v>581</v>
      </c>
      <c r="B27" s="241">
        <v>90.2</v>
      </c>
      <c r="C27" s="241">
        <v>645.9</v>
      </c>
      <c r="D27" s="241">
        <v>0.9</v>
      </c>
      <c r="E27" s="241">
        <v>812</v>
      </c>
      <c r="F27" s="241">
        <v>260.2</v>
      </c>
      <c r="G27" s="241">
        <v>25741.8</v>
      </c>
      <c r="H27" s="241">
        <v>0.1</v>
      </c>
      <c r="I27" s="241">
        <v>0.1</v>
      </c>
      <c r="J27" s="241">
        <v>0.1</v>
      </c>
      <c r="K27" s="241">
        <f t="shared" si="5"/>
        <v>2638.3000000000029</v>
      </c>
      <c r="L27" s="241">
        <v>30189.599999999999</v>
      </c>
      <c r="M27" s="241">
        <v>210.1</v>
      </c>
      <c r="N27" s="241">
        <v>1826</v>
      </c>
      <c r="O27" s="241">
        <f t="shared" si="6"/>
        <v>2036.1</v>
      </c>
      <c r="P27" s="241">
        <v>242.1</v>
      </c>
      <c r="Q27" s="241">
        <v>204.9</v>
      </c>
      <c r="R27" s="241">
        <v>804.8</v>
      </c>
      <c r="S27" s="241">
        <v>1722.7</v>
      </c>
      <c r="T27" s="241">
        <v>932</v>
      </c>
      <c r="U27" s="215" t="s">
        <v>581</v>
      </c>
      <c r="V27" s="168" t="s">
        <v>581</v>
      </c>
      <c r="W27" s="241">
        <v>1602.4</v>
      </c>
      <c r="X27" s="241">
        <v>727.1</v>
      </c>
      <c r="Y27" s="241">
        <v>1080.8</v>
      </c>
      <c r="Z27" s="241">
        <v>5305.6</v>
      </c>
      <c r="AA27" s="241">
        <v>2155.9</v>
      </c>
      <c r="AB27" s="241">
        <v>104.7</v>
      </c>
      <c r="AC27" s="241">
        <v>2300.1999999999998</v>
      </c>
      <c r="AD27" s="241">
        <v>662.8</v>
      </c>
      <c r="AE27" s="241">
        <v>2515.3000000000002</v>
      </c>
      <c r="AF27" s="241">
        <v>3682.9</v>
      </c>
      <c r="AG27" s="241">
        <v>3549.7</v>
      </c>
      <c r="AH27" s="241">
        <v>5959.2</v>
      </c>
      <c r="AI27" s="241">
        <v>916.3</v>
      </c>
      <c r="AJ27" s="241">
        <v>4625.7</v>
      </c>
      <c r="AK27" s="241">
        <v>2393.5</v>
      </c>
      <c r="AL27" s="241">
        <v>11408.6</v>
      </c>
      <c r="AM27" s="241">
        <v>52897.2</v>
      </c>
      <c r="AN27" s="241">
        <v>54933.299999999996</v>
      </c>
      <c r="AO27" s="241">
        <f t="shared" si="4"/>
        <v>-24743.699999999997</v>
      </c>
      <c r="AP27" s="215" t="s">
        <v>581</v>
      </c>
    </row>
    <row r="28" spans="1:42" s="276" customFormat="1" ht="10.7" customHeight="1">
      <c r="A28" s="328" t="s">
        <v>573</v>
      </c>
      <c r="B28" s="306">
        <v>112.4</v>
      </c>
      <c r="C28" s="306">
        <v>781.3</v>
      </c>
      <c r="D28" s="306">
        <v>1.4</v>
      </c>
      <c r="E28" s="306">
        <v>908.5</v>
      </c>
      <c r="F28" s="306">
        <v>218.7</v>
      </c>
      <c r="G28" s="306">
        <v>30415.599999999999</v>
      </c>
      <c r="H28" s="306">
        <v>0.1</v>
      </c>
      <c r="I28" s="306">
        <v>0.1</v>
      </c>
      <c r="J28" s="306">
        <v>0.1</v>
      </c>
      <c r="K28" s="306">
        <f t="shared" ref="K28:K43" si="7">L28-SUM(B28:J28)</f>
        <v>3313.200000000008</v>
      </c>
      <c r="L28" s="306">
        <v>35751.4</v>
      </c>
      <c r="M28" s="306">
        <v>234.9</v>
      </c>
      <c r="N28" s="306">
        <v>1924.8</v>
      </c>
      <c r="O28" s="306">
        <f t="shared" si="6"/>
        <v>2159.6999999999998</v>
      </c>
      <c r="P28" s="306">
        <v>317</v>
      </c>
      <c r="Q28" s="306">
        <v>276.60000000000002</v>
      </c>
      <c r="R28" s="306">
        <v>1252</v>
      </c>
      <c r="S28" s="306">
        <v>2593.1</v>
      </c>
      <c r="T28" s="306">
        <v>692.3</v>
      </c>
      <c r="U28" s="320" t="s">
        <v>573</v>
      </c>
      <c r="V28" s="319" t="s">
        <v>573</v>
      </c>
      <c r="W28" s="306">
        <v>877.8</v>
      </c>
      <c r="X28" s="306">
        <v>608.6</v>
      </c>
      <c r="Y28" s="306">
        <v>485.7</v>
      </c>
      <c r="Z28" s="306">
        <v>10983.5</v>
      </c>
      <c r="AA28" s="306">
        <v>2803.3</v>
      </c>
      <c r="AB28" s="306">
        <v>151.30000000000001</v>
      </c>
      <c r="AC28" s="306">
        <v>1578.1</v>
      </c>
      <c r="AD28" s="306">
        <v>787.7</v>
      </c>
      <c r="AE28" s="306">
        <v>3171.6</v>
      </c>
      <c r="AF28" s="306">
        <v>4238.2</v>
      </c>
      <c r="AG28" s="306">
        <v>3745.7</v>
      </c>
      <c r="AH28" s="306">
        <v>6423.2</v>
      </c>
      <c r="AI28" s="306">
        <v>1163.8</v>
      </c>
      <c r="AJ28" s="306">
        <v>5215.2</v>
      </c>
      <c r="AK28" s="306">
        <v>2636</v>
      </c>
      <c r="AL28" s="306">
        <v>12616.9</v>
      </c>
      <c r="AM28" s="306">
        <v>62617.599999999991</v>
      </c>
      <c r="AN28" s="306">
        <v>64777.299999999988</v>
      </c>
      <c r="AO28" s="306">
        <f t="shared" si="4"/>
        <v>-29025.899999999987</v>
      </c>
      <c r="AP28" s="320" t="s">
        <v>573</v>
      </c>
    </row>
    <row r="29" spans="1:42" s="276" customFormat="1" ht="10.7" customHeight="1">
      <c r="A29" s="169" t="s">
        <v>582</v>
      </c>
      <c r="B29" s="241">
        <v>104.3</v>
      </c>
      <c r="C29" s="241">
        <v>563.9</v>
      </c>
      <c r="D29" s="241">
        <v>1.3</v>
      </c>
      <c r="E29" s="241">
        <v>902.7</v>
      </c>
      <c r="F29" s="241">
        <v>229.9</v>
      </c>
      <c r="G29" s="241">
        <v>27145.599999999999</v>
      </c>
      <c r="H29" s="241">
        <v>0.1</v>
      </c>
      <c r="I29" s="241">
        <v>0.1</v>
      </c>
      <c r="J29" s="241">
        <v>0.1</v>
      </c>
      <c r="K29" s="241">
        <f t="shared" si="7"/>
        <v>3339.4000000000087</v>
      </c>
      <c r="L29" s="241">
        <v>32287.4</v>
      </c>
      <c r="M29" s="241">
        <v>108.9</v>
      </c>
      <c r="N29" s="241">
        <v>1426.8</v>
      </c>
      <c r="O29" s="241">
        <f t="shared" si="6"/>
        <v>1535.7</v>
      </c>
      <c r="P29" s="241">
        <v>334.2</v>
      </c>
      <c r="Q29" s="241">
        <v>276.7</v>
      </c>
      <c r="R29" s="241">
        <v>657.7</v>
      </c>
      <c r="S29" s="241">
        <v>1770.8</v>
      </c>
      <c r="T29" s="241">
        <v>619.4</v>
      </c>
      <c r="U29" s="215" t="s">
        <v>582</v>
      </c>
      <c r="V29" s="168" t="s">
        <v>582</v>
      </c>
      <c r="W29" s="241">
        <v>546.20000000000005</v>
      </c>
      <c r="X29" s="241">
        <v>760.5</v>
      </c>
      <c r="Y29" s="241">
        <v>719.5</v>
      </c>
      <c r="Z29" s="241">
        <v>13232.9</v>
      </c>
      <c r="AA29" s="241">
        <v>2462.5</v>
      </c>
      <c r="AB29" s="241">
        <v>132.9</v>
      </c>
      <c r="AC29" s="241">
        <v>1053.8</v>
      </c>
      <c r="AD29" s="241">
        <v>729.7</v>
      </c>
      <c r="AE29" s="241">
        <v>2935.2</v>
      </c>
      <c r="AF29" s="241">
        <v>3126.9</v>
      </c>
      <c r="AG29" s="241">
        <v>3337.6</v>
      </c>
      <c r="AH29" s="241">
        <v>5829.1</v>
      </c>
      <c r="AI29" s="241">
        <v>1069.0999999999999</v>
      </c>
      <c r="AJ29" s="241">
        <v>4359.3</v>
      </c>
      <c r="AK29" s="241">
        <v>2800.2</v>
      </c>
      <c r="AL29" s="241">
        <v>10685.9</v>
      </c>
      <c r="AM29" s="241">
        <v>57440.100000000006</v>
      </c>
      <c r="AN29" s="241">
        <v>58975.8</v>
      </c>
      <c r="AO29" s="241">
        <f t="shared" si="4"/>
        <v>-26688.400000000001</v>
      </c>
      <c r="AP29" s="215" t="s">
        <v>582</v>
      </c>
    </row>
    <row r="30" spans="1:42" s="276" customFormat="1" ht="10.7" customHeight="1">
      <c r="A30" s="328" t="s">
        <v>583</v>
      </c>
      <c r="B30" s="306">
        <v>128.30000000000001</v>
      </c>
      <c r="C30" s="306">
        <v>497.5</v>
      </c>
      <c r="D30" s="306">
        <v>1.4</v>
      </c>
      <c r="E30" s="306">
        <v>888.5</v>
      </c>
      <c r="F30" s="306">
        <v>191.3</v>
      </c>
      <c r="G30" s="306">
        <v>28813.1</v>
      </c>
      <c r="H30" s="306">
        <v>0.1</v>
      </c>
      <c r="I30" s="306">
        <v>0.1</v>
      </c>
      <c r="J30" s="306">
        <v>0.1</v>
      </c>
      <c r="K30" s="306">
        <f t="shared" si="7"/>
        <v>2950.1000000000058</v>
      </c>
      <c r="L30" s="306">
        <v>33470.5</v>
      </c>
      <c r="M30" s="306">
        <v>83.5</v>
      </c>
      <c r="N30" s="306">
        <v>1268.9000000000001</v>
      </c>
      <c r="O30" s="306">
        <f t="shared" si="6"/>
        <v>1352.4</v>
      </c>
      <c r="P30" s="306">
        <v>380.3</v>
      </c>
      <c r="Q30" s="306">
        <v>278</v>
      </c>
      <c r="R30" s="306">
        <v>1128.2</v>
      </c>
      <c r="S30" s="306">
        <v>2151.1</v>
      </c>
      <c r="T30" s="306">
        <v>527</v>
      </c>
      <c r="U30" s="320" t="s">
        <v>583</v>
      </c>
      <c r="V30" s="319" t="s">
        <v>583</v>
      </c>
      <c r="W30" s="306">
        <v>1515.3</v>
      </c>
      <c r="X30" s="306">
        <v>563.20000000000005</v>
      </c>
      <c r="Y30" s="306">
        <v>0</v>
      </c>
      <c r="Z30" s="306">
        <v>11478.7</v>
      </c>
      <c r="AA30" s="306">
        <v>2361.6999999999998</v>
      </c>
      <c r="AB30" s="306">
        <v>125.2</v>
      </c>
      <c r="AC30" s="306">
        <v>1422.9</v>
      </c>
      <c r="AD30" s="306">
        <v>755.8</v>
      </c>
      <c r="AE30" s="306">
        <v>3061.5</v>
      </c>
      <c r="AF30" s="306">
        <v>2942.4</v>
      </c>
      <c r="AG30" s="306">
        <v>3660.6</v>
      </c>
      <c r="AH30" s="306">
        <v>6391.2</v>
      </c>
      <c r="AI30" s="306">
        <v>1033.0999999999999</v>
      </c>
      <c r="AJ30" s="306">
        <v>4842.5</v>
      </c>
      <c r="AK30" s="306">
        <v>2614.4</v>
      </c>
      <c r="AL30" s="306">
        <v>10481.700000000001</v>
      </c>
      <c r="AM30" s="306">
        <v>57714.8</v>
      </c>
      <c r="AN30" s="306">
        <v>59067.200000000004</v>
      </c>
      <c r="AO30" s="306">
        <f t="shared" si="4"/>
        <v>-25596.700000000004</v>
      </c>
      <c r="AP30" s="320" t="s">
        <v>583</v>
      </c>
    </row>
    <row r="31" spans="1:42" s="276" customFormat="1" ht="10.7" customHeight="1">
      <c r="A31" s="169" t="s">
        <v>574</v>
      </c>
      <c r="B31" s="241">
        <v>135.6</v>
      </c>
      <c r="C31" s="241">
        <v>608</v>
      </c>
      <c r="D31" s="241">
        <v>2.2000000000000002</v>
      </c>
      <c r="E31" s="241">
        <v>1077.3</v>
      </c>
      <c r="F31" s="241">
        <v>299.89999999999998</v>
      </c>
      <c r="G31" s="241">
        <v>34444</v>
      </c>
      <c r="H31" s="241">
        <v>0.1</v>
      </c>
      <c r="I31" s="241">
        <v>0.1</v>
      </c>
      <c r="J31" s="241">
        <v>0.1</v>
      </c>
      <c r="K31" s="241">
        <f t="shared" si="7"/>
        <v>3953.7000000000044</v>
      </c>
      <c r="L31" s="241">
        <v>40521</v>
      </c>
      <c r="M31" s="241">
        <v>22.6</v>
      </c>
      <c r="N31" s="241">
        <v>1086.3</v>
      </c>
      <c r="O31" s="241">
        <f t="shared" si="6"/>
        <v>1108.8999999999999</v>
      </c>
      <c r="P31" s="241">
        <v>237.7</v>
      </c>
      <c r="Q31" s="241">
        <v>352.5</v>
      </c>
      <c r="R31" s="241">
        <v>2249.6999999999998</v>
      </c>
      <c r="S31" s="241">
        <v>1882.7</v>
      </c>
      <c r="T31" s="241">
        <v>380.8</v>
      </c>
      <c r="U31" s="215" t="s">
        <v>574</v>
      </c>
      <c r="V31" s="168" t="s">
        <v>574</v>
      </c>
      <c r="W31" s="241">
        <v>606.5</v>
      </c>
      <c r="X31" s="241">
        <v>603.1</v>
      </c>
      <c r="Y31" s="241">
        <v>2150.6</v>
      </c>
      <c r="Z31" s="241">
        <v>11966.6</v>
      </c>
      <c r="AA31" s="241">
        <v>2989.9</v>
      </c>
      <c r="AB31" s="241">
        <v>168.9</v>
      </c>
      <c r="AC31" s="241">
        <v>2323.9</v>
      </c>
      <c r="AD31" s="241">
        <v>835.4</v>
      </c>
      <c r="AE31" s="241">
        <v>3471.5</v>
      </c>
      <c r="AF31" s="241">
        <v>3181.3</v>
      </c>
      <c r="AG31" s="241">
        <v>3595</v>
      </c>
      <c r="AH31" s="241">
        <v>6705.9</v>
      </c>
      <c r="AI31" s="241">
        <v>1054.5999999999999</v>
      </c>
      <c r="AJ31" s="241">
        <v>5932.9</v>
      </c>
      <c r="AK31" s="241">
        <v>3627.8</v>
      </c>
      <c r="AL31" s="241">
        <v>15033.8</v>
      </c>
      <c r="AM31" s="241">
        <v>69351.100000000006</v>
      </c>
      <c r="AN31" s="241">
        <v>70460</v>
      </c>
      <c r="AO31" s="241">
        <f t="shared" si="4"/>
        <v>-29939</v>
      </c>
      <c r="AP31" s="215" t="s">
        <v>574</v>
      </c>
    </row>
    <row r="32" spans="1:42" s="276" customFormat="1" ht="10.7" customHeight="1">
      <c r="A32" s="329" t="s">
        <v>2299</v>
      </c>
      <c r="B32" s="934">
        <f>SUM(B33:B44)</f>
        <v>1968.9</v>
      </c>
      <c r="C32" s="934">
        <f t="shared" ref="C32:L32" si="8">SUM(C33:C44)</f>
        <v>7108.4999999999991</v>
      </c>
      <c r="D32" s="934">
        <f t="shared" si="8"/>
        <v>25.400000000000002</v>
      </c>
      <c r="E32" s="934">
        <f t="shared" si="8"/>
        <v>12929.9</v>
      </c>
      <c r="F32" s="934">
        <f t="shared" si="8"/>
        <v>3684.6000000000004</v>
      </c>
      <c r="G32" s="934">
        <f t="shared" si="8"/>
        <v>366180.39999999997</v>
      </c>
      <c r="H32" s="934">
        <f t="shared" si="8"/>
        <v>1.2</v>
      </c>
      <c r="I32" s="934">
        <f t="shared" si="8"/>
        <v>1.2</v>
      </c>
      <c r="J32" s="934">
        <f t="shared" si="8"/>
        <v>1.2</v>
      </c>
      <c r="K32" s="934">
        <f t="shared" si="8"/>
        <v>39841.000000000058</v>
      </c>
      <c r="L32" s="934">
        <f t="shared" si="8"/>
        <v>431742.29999999993</v>
      </c>
      <c r="M32" s="934">
        <f t="shared" ref="M32:T32" si="9">SUM(M33:M44)</f>
        <v>5081.6000000000004</v>
      </c>
      <c r="N32" s="934">
        <f t="shared" si="9"/>
        <v>16544.399999999998</v>
      </c>
      <c r="O32" s="934">
        <f t="shared" si="9"/>
        <v>21625.999999999996</v>
      </c>
      <c r="P32" s="934">
        <f t="shared" si="9"/>
        <v>3980.4</v>
      </c>
      <c r="Q32" s="934">
        <f t="shared" si="9"/>
        <v>3581.8</v>
      </c>
      <c r="R32" s="934">
        <f t="shared" si="9"/>
        <v>12487.6</v>
      </c>
      <c r="S32" s="934">
        <f t="shared" si="9"/>
        <v>28761.600000000002</v>
      </c>
      <c r="T32" s="934">
        <f t="shared" si="9"/>
        <v>8165.9</v>
      </c>
      <c r="U32" s="322" t="s">
        <v>2299</v>
      </c>
      <c r="V32" s="321" t="s">
        <v>2299</v>
      </c>
      <c r="W32" s="934">
        <f t="shared" ref="W32:AO32" si="10">SUM(W33:W44)</f>
        <v>9138.6</v>
      </c>
      <c r="X32" s="934">
        <f t="shared" si="10"/>
        <v>8465.5</v>
      </c>
      <c r="Y32" s="934">
        <f t="shared" si="10"/>
        <v>12059.699999999999</v>
      </c>
      <c r="Z32" s="934">
        <f t="shared" si="10"/>
        <v>104521.09999999999</v>
      </c>
      <c r="AA32" s="934">
        <f t="shared" si="10"/>
        <v>30574.1</v>
      </c>
      <c r="AB32" s="934">
        <f t="shared" si="10"/>
        <v>1759.2</v>
      </c>
      <c r="AC32" s="934">
        <f t="shared" si="10"/>
        <v>33692.200000000004</v>
      </c>
      <c r="AD32" s="934">
        <f t="shared" si="10"/>
        <v>7764.3</v>
      </c>
      <c r="AE32" s="934">
        <f t="shared" si="10"/>
        <v>29525.299999999996</v>
      </c>
      <c r="AF32" s="934">
        <f t="shared" si="10"/>
        <v>38963.9</v>
      </c>
      <c r="AG32" s="934">
        <f t="shared" si="10"/>
        <v>27235</v>
      </c>
      <c r="AH32" s="934">
        <f t="shared" si="10"/>
        <v>68854.899999999994</v>
      </c>
      <c r="AI32" s="934">
        <f t="shared" si="10"/>
        <v>12361.699999999999</v>
      </c>
      <c r="AJ32" s="934">
        <f t="shared" si="10"/>
        <v>47027.4</v>
      </c>
      <c r="AK32" s="934">
        <f t="shared" si="10"/>
        <v>34936.200000000004</v>
      </c>
      <c r="AL32" s="934">
        <f t="shared" si="10"/>
        <v>133321.70000000001</v>
      </c>
      <c r="AM32" s="934">
        <f t="shared" si="10"/>
        <v>657178.10000000009</v>
      </c>
      <c r="AN32" s="934">
        <f t="shared" si="10"/>
        <v>678804.1</v>
      </c>
      <c r="AO32" s="934">
        <f t="shared" si="10"/>
        <v>-247061.8</v>
      </c>
      <c r="AP32" s="322" t="s">
        <v>2299</v>
      </c>
    </row>
    <row r="33" spans="1:42" s="276" customFormat="1" ht="10.7" customHeight="1">
      <c r="A33" s="169" t="s">
        <v>576</v>
      </c>
      <c r="B33" s="241">
        <v>210.3</v>
      </c>
      <c r="C33" s="241">
        <v>466.2</v>
      </c>
      <c r="D33" s="241">
        <v>3.7</v>
      </c>
      <c r="E33" s="241">
        <v>1061</v>
      </c>
      <c r="F33" s="241">
        <v>256.10000000000002</v>
      </c>
      <c r="G33" s="241">
        <v>29610.9</v>
      </c>
      <c r="H33" s="241">
        <v>0.1</v>
      </c>
      <c r="I33" s="241">
        <v>0.1</v>
      </c>
      <c r="J33" s="241">
        <v>0.1</v>
      </c>
      <c r="K33" s="241">
        <f t="shared" si="7"/>
        <v>3720.9000000000051</v>
      </c>
      <c r="L33" s="241">
        <v>35329.4</v>
      </c>
      <c r="M33" s="241">
        <v>129.5</v>
      </c>
      <c r="N33" s="241">
        <v>881.5</v>
      </c>
      <c r="O33" s="241">
        <f>M33+N33</f>
        <v>1011</v>
      </c>
      <c r="P33" s="241">
        <v>299.3</v>
      </c>
      <c r="Q33" s="241">
        <v>313.89999999999998</v>
      </c>
      <c r="R33" s="241">
        <v>2604.6999999999998</v>
      </c>
      <c r="S33" s="241">
        <v>4220.8</v>
      </c>
      <c r="T33" s="241">
        <v>512.29999999999995</v>
      </c>
      <c r="U33" s="215" t="s">
        <v>576</v>
      </c>
      <c r="V33" s="168" t="s">
        <v>576</v>
      </c>
      <c r="W33" s="241">
        <v>524.1</v>
      </c>
      <c r="X33" s="241">
        <v>591.9</v>
      </c>
      <c r="Y33" s="241">
        <v>1213</v>
      </c>
      <c r="Z33" s="241">
        <v>14375.6</v>
      </c>
      <c r="AA33" s="241">
        <v>2802.7</v>
      </c>
      <c r="AB33" s="241">
        <v>129.30000000000001</v>
      </c>
      <c r="AC33" s="241">
        <v>1171.5</v>
      </c>
      <c r="AD33" s="241">
        <v>755.5</v>
      </c>
      <c r="AE33" s="241">
        <v>2904.6</v>
      </c>
      <c r="AF33" s="241">
        <v>3742.2</v>
      </c>
      <c r="AG33" s="241">
        <v>3242</v>
      </c>
      <c r="AH33" s="241">
        <v>5845.3</v>
      </c>
      <c r="AI33" s="241">
        <v>996.8</v>
      </c>
      <c r="AJ33" s="241">
        <v>4737</v>
      </c>
      <c r="AK33" s="241">
        <v>2914.1</v>
      </c>
      <c r="AL33" s="241">
        <v>11910.2</v>
      </c>
      <c r="AM33" s="241">
        <v>65806.8</v>
      </c>
      <c r="AN33" s="241">
        <f t="shared" ref="AN33:AN35" si="11">O33+AM33</f>
        <v>66817.8</v>
      </c>
      <c r="AO33" s="241">
        <f t="shared" si="4"/>
        <v>-31488.400000000001</v>
      </c>
      <c r="AP33" s="215" t="s">
        <v>576</v>
      </c>
    </row>
    <row r="34" spans="1:42" s="276" customFormat="1" ht="10.7" customHeight="1">
      <c r="A34" s="328" t="s">
        <v>112</v>
      </c>
      <c r="B34" s="306">
        <v>189.8</v>
      </c>
      <c r="C34" s="306">
        <v>584.5</v>
      </c>
      <c r="D34" s="306">
        <v>1.6</v>
      </c>
      <c r="E34" s="306">
        <v>1548.7</v>
      </c>
      <c r="F34" s="306">
        <v>346.6</v>
      </c>
      <c r="G34" s="306">
        <v>35570.6</v>
      </c>
      <c r="H34" s="306">
        <v>0.1</v>
      </c>
      <c r="I34" s="306">
        <v>0.1</v>
      </c>
      <c r="J34" s="306">
        <v>0.1</v>
      </c>
      <c r="K34" s="306">
        <f t="shared" si="7"/>
        <v>3481.3000000000102</v>
      </c>
      <c r="L34" s="306">
        <v>41723.4</v>
      </c>
      <c r="M34" s="306">
        <v>191.5</v>
      </c>
      <c r="N34" s="306">
        <v>621.6</v>
      </c>
      <c r="O34" s="306">
        <f t="shared" ref="O34:O51" si="12">M34+N34</f>
        <v>813.1</v>
      </c>
      <c r="P34" s="306">
        <v>237.7</v>
      </c>
      <c r="Q34" s="306">
        <v>229.2</v>
      </c>
      <c r="R34" s="306">
        <v>1402.4</v>
      </c>
      <c r="S34" s="306">
        <v>3339.4</v>
      </c>
      <c r="T34" s="306">
        <v>824.2</v>
      </c>
      <c r="U34" s="320" t="s">
        <v>112</v>
      </c>
      <c r="V34" s="319" t="s">
        <v>112</v>
      </c>
      <c r="W34" s="306">
        <v>704.9</v>
      </c>
      <c r="X34" s="306">
        <v>563</v>
      </c>
      <c r="Y34" s="306">
        <v>780.5</v>
      </c>
      <c r="Z34" s="306">
        <v>11215.7</v>
      </c>
      <c r="AA34" s="306">
        <v>2795.6</v>
      </c>
      <c r="AB34" s="306">
        <v>164.1</v>
      </c>
      <c r="AC34" s="306">
        <v>5448.8</v>
      </c>
      <c r="AD34" s="306">
        <v>822.1</v>
      </c>
      <c r="AE34" s="306">
        <v>3043.5</v>
      </c>
      <c r="AF34" s="306">
        <v>4298.2</v>
      </c>
      <c r="AG34" s="306">
        <v>3276</v>
      </c>
      <c r="AH34" s="306">
        <v>6748.5</v>
      </c>
      <c r="AI34" s="306">
        <v>1116.4000000000001</v>
      </c>
      <c r="AJ34" s="306">
        <v>5456.2</v>
      </c>
      <c r="AK34" s="306">
        <v>3162.4</v>
      </c>
      <c r="AL34" s="306">
        <v>12378.2</v>
      </c>
      <c r="AM34" s="306">
        <v>68007</v>
      </c>
      <c r="AN34" s="306">
        <f>O34+AM34</f>
        <v>68820.100000000006</v>
      </c>
      <c r="AO34" s="306">
        <f t="shared" si="4"/>
        <v>-27096.700000000004</v>
      </c>
      <c r="AP34" s="320" t="s">
        <v>112</v>
      </c>
    </row>
    <row r="35" spans="1:42" s="276" customFormat="1" ht="10.7" customHeight="1">
      <c r="A35" s="169" t="s">
        <v>571</v>
      </c>
      <c r="B35" s="241">
        <v>143.4</v>
      </c>
      <c r="C35" s="241">
        <v>676.4</v>
      </c>
      <c r="D35" s="241">
        <v>0.2</v>
      </c>
      <c r="E35" s="241">
        <v>1296</v>
      </c>
      <c r="F35" s="241">
        <v>333.4</v>
      </c>
      <c r="G35" s="241">
        <v>34001.300000000003</v>
      </c>
      <c r="H35" s="241">
        <v>0.1</v>
      </c>
      <c r="I35" s="241">
        <v>0.1</v>
      </c>
      <c r="J35" s="241">
        <v>0.1</v>
      </c>
      <c r="K35" s="241">
        <f t="shared" si="7"/>
        <v>3309.1999999999971</v>
      </c>
      <c r="L35" s="241">
        <v>39760.199999999997</v>
      </c>
      <c r="M35" s="241">
        <v>400.6</v>
      </c>
      <c r="N35" s="241">
        <v>1145.8</v>
      </c>
      <c r="O35" s="241">
        <f t="shared" si="12"/>
        <v>1546.4</v>
      </c>
      <c r="P35" s="241">
        <v>396.7</v>
      </c>
      <c r="Q35" s="241">
        <v>186.8</v>
      </c>
      <c r="R35" s="241">
        <v>923.2</v>
      </c>
      <c r="S35" s="241">
        <v>2600.9</v>
      </c>
      <c r="T35" s="241">
        <v>131.4</v>
      </c>
      <c r="U35" s="215" t="s">
        <v>571</v>
      </c>
      <c r="V35" s="168" t="s">
        <v>571</v>
      </c>
      <c r="W35" s="241">
        <v>367.7</v>
      </c>
      <c r="X35" s="241">
        <v>807.3</v>
      </c>
      <c r="Y35" s="241">
        <v>742.2</v>
      </c>
      <c r="Z35" s="241">
        <v>9261.7999999999993</v>
      </c>
      <c r="AA35" s="241">
        <v>2318</v>
      </c>
      <c r="AB35" s="241">
        <v>146.6</v>
      </c>
      <c r="AC35" s="241">
        <v>6009.4</v>
      </c>
      <c r="AD35" s="241">
        <v>684.3</v>
      </c>
      <c r="AE35" s="241">
        <v>2654.2</v>
      </c>
      <c r="AF35" s="241">
        <v>4587.3</v>
      </c>
      <c r="AG35" s="241">
        <v>2775</v>
      </c>
      <c r="AH35" s="241">
        <v>6302.7</v>
      </c>
      <c r="AI35" s="241">
        <v>1019.6</v>
      </c>
      <c r="AJ35" s="241">
        <v>4633</v>
      </c>
      <c r="AK35" s="241">
        <v>3017.6</v>
      </c>
      <c r="AL35" s="241">
        <v>11557.6</v>
      </c>
      <c r="AM35" s="241">
        <v>61123.299999999996</v>
      </c>
      <c r="AN35" s="241">
        <f t="shared" si="11"/>
        <v>62669.7</v>
      </c>
      <c r="AO35" s="241">
        <f t="shared" si="4"/>
        <v>-22909.5</v>
      </c>
      <c r="AP35" s="215" t="s">
        <v>571</v>
      </c>
    </row>
    <row r="36" spans="1:42" s="276" customFormat="1" ht="10.7" customHeight="1">
      <c r="A36" s="328" t="s">
        <v>578</v>
      </c>
      <c r="B36" s="306">
        <v>152.69999999999999</v>
      </c>
      <c r="C36" s="306">
        <v>710</v>
      </c>
      <c r="D36" s="306">
        <v>1.3</v>
      </c>
      <c r="E36" s="306">
        <v>1161.0999999999999</v>
      </c>
      <c r="F36" s="306">
        <v>365.3</v>
      </c>
      <c r="G36" s="306">
        <v>32038</v>
      </c>
      <c r="H36" s="306">
        <v>0.1</v>
      </c>
      <c r="I36" s="306">
        <v>0.1</v>
      </c>
      <c r="J36" s="306">
        <v>0.1</v>
      </c>
      <c r="K36" s="306">
        <f t="shared" si="7"/>
        <v>3426.1000000000058</v>
      </c>
      <c r="L36" s="306">
        <v>37854.800000000003</v>
      </c>
      <c r="M36" s="306">
        <v>486.8</v>
      </c>
      <c r="N36" s="306">
        <v>1427.9</v>
      </c>
      <c r="O36" s="306">
        <f t="shared" si="12"/>
        <v>1914.7</v>
      </c>
      <c r="P36" s="306">
        <v>342.2</v>
      </c>
      <c r="Q36" s="306">
        <v>232.1</v>
      </c>
      <c r="R36" s="306">
        <v>595.20000000000005</v>
      </c>
      <c r="S36" s="306">
        <v>3320.8</v>
      </c>
      <c r="T36" s="306">
        <v>869</v>
      </c>
      <c r="U36" s="320" t="s">
        <v>578</v>
      </c>
      <c r="V36" s="319" t="s">
        <v>578</v>
      </c>
      <c r="W36" s="306">
        <v>402.1</v>
      </c>
      <c r="X36" s="306">
        <v>830.8</v>
      </c>
      <c r="Y36" s="306">
        <v>1469</v>
      </c>
      <c r="Z36" s="306">
        <v>10464.6</v>
      </c>
      <c r="AA36" s="306">
        <v>2737.6</v>
      </c>
      <c r="AB36" s="306">
        <v>148.6</v>
      </c>
      <c r="AC36" s="306">
        <v>4577.2</v>
      </c>
      <c r="AD36" s="306">
        <v>656.2</v>
      </c>
      <c r="AE36" s="306">
        <v>2348.8000000000002</v>
      </c>
      <c r="AF36" s="306">
        <v>4137.3999999999996</v>
      </c>
      <c r="AG36" s="306">
        <v>2370.1</v>
      </c>
      <c r="AH36" s="306">
        <v>5737.1</v>
      </c>
      <c r="AI36" s="306">
        <v>866</v>
      </c>
      <c r="AJ36" s="306">
        <v>4102.6000000000004</v>
      </c>
      <c r="AK36" s="306">
        <v>3203.8</v>
      </c>
      <c r="AL36" s="306">
        <v>10815.5</v>
      </c>
      <c r="AM36" s="306">
        <v>60226.7</v>
      </c>
      <c r="AN36" s="306">
        <f t="shared" ref="AN36:AN41" si="13">O36+AM36</f>
        <v>62141.399999999994</v>
      </c>
      <c r="AO36" s="306">
        <f t="shared" si="4"/>
        <v>-24286.599999999991</v>
      </c>
      <c r="AP36" s="320" t="s">
        <v>578</v>
      </c>
    </row>
    <row r="37" spans="1:42" s="276" customFormat="1" ht="10.7" customHeight="1">
      <c r="A37" s="169" t="s">
        <v>579</v>
      </c>
      <c r="B37" s="241">
        <v>156.1</v>
      </c>
      <c r="C37" s="241">
        <v>710.2</v>
      </c>
      <c r="D37" s="241">
        <v>0.5</v>
      </c>
      <c r="E37" s="241">
        <v>997.1</v>
      </c>
      <c r="F37" s="241">
        <v>366.7</v>
      </c>
      <c r="G37" s="241">
        <v>30739.5</v>
      </c>
      <c r="H37" s="241">
        <v>0.1</v>
      </c>
      <c r="I37" s="241">
        <v>0.1</v>
      </c>
      <c r="J37" s="241">
        <v>0.1</v>
      </c>
      <c r="K37" s="241">
        <f t="shared" si="7"/>
        <v>3196.6000000000058</v>
      </c>
      <c r="L37" s="241">
        <v>36167</v>
      </c>
      <c r="M37" s="241">
        <v>747.7</v>
      </c>
      <c r="N37" s="241">
        <v>1634.3</v>
      </c>
      <c r="O37" s="241">
        <f t="shared" si="12"/>
        <v>2382</v>
      </c>
      <c r="P37" s="241">
        <v>299.39999999999998</v>
      </c>
      <c r="Q37" s="241">
        <v>228.3</v>
      </c>
      <c r="R37" s="241">
        <v>822.2</v>
      </c>
      <c r="S37" s="241">
        <v>1989.3</v>
      </c>
      <c r="T37" s="241">
        <v>462.1</v>
      </c>
      <c r="U37" s="215" t="s">
        <v>579</v>
      </c>
      <c r="V37" s="168" t="s">
        <v>579</v>
      </c>
      <c r="W37" s="241">
        <v>614.29999999999995</v>
      </c>
      <c r="X37" s="241">
        <v>802</v>
      </c>
      <c r="Y37" s="241">
        <v>722.6</v>
      </c>
      <c r="Z37" s="241">
        <v>9106.2999999999993</v>
      </c>
      <c r="AA37" s="241">
        <v>2420.1</v>
      </c>
      <c r="AB37" s="241">
        <v>163.69999999999999</v>
      </c>
      <c r="AC37" s="241">
        <v>5000.3</v>
      </c>
      <c r="AD37" s="241">
        <v>576.20000000000005</v>
      </c>
      <c r="AE37" s="241">
        <v>2412.1</v>
      </c>
      <c r="AF37" s="241">
        <v>3925.1</v>
      </c>
      <c r="AG37" s="241">
        <v>2340.8000000000002</v>
      </c>
      <c r="AH37" s="241">
        <v>6019</v>
      </c>
      <c r="AI37" s="241">
        <v>983</v>
      </c>
      <c r="AJ37" s="241">
        <v>3715.8</v>
      </c>
      <c r="AK37" s="241">
        <v>2752.7</v>
      </c>
      <c r="AL37" s="241">
        <v>9895.2000000000007</v>
      </c>
      <c r="AM37" s="241">
        <v>55250.5</v>
      </c>
      <c r="AN37" s="241">
        <f t="shared" si="13"/>
        <v>57632.5</v>
      </c>
      <c r="AO37" s="241">
        <f t="shared" si="4"/>
        <v>-21465.5</v>
      </c>
      <c r="AP37" s="215" t="s">
        <v>579</v>
      </c>
    </row>
    <row r="38" spans="1:42" s="276" customFormat="1" ht="10.7" customHeight="1">
      <c r="A38" s="328" t="s">
        <v>572</v>
      </c>
      <c r="B38" s="306">
        <v>150.80000000000001</v>
      </c>
      <c r="C38" s="306">
        <v>656.6</v>
      </c>
      <c r="D38" s="306">
        <v>4.5999999999999996</v>
      </c>
      <c r="E38" s="306">
        <v>1044.9000000000001</v>
      </c>
      <c r="F38" s="306">
        <v>357.8</v>
      </c>
      <c r="G38" s="306">
        <v>32266.400000000001</v>
      </c>
      <c r="H38" s="306">
        <v>0.1</v>
      </c>
      <c r="I38" s="306">
        <v>0.1</v>
      </c>
      <c r="J38" s="306">
        <v>0.1</v>
      </c>
      <c r="K38" s="306">
        <f>L38-SUM(B38:J38)</f>
        <v>3269.9000000000087</v>
      </c>
      <c r="L38" s="306">
        <v>37751.300000000003</v>
      </c>
      <c r="M38" s="306">
        <v>814.3</v>
      </c>
      <c r="N38" s="306">
        <v>1882.6</v>
      </c>
      <c r="O38" s="306">
        <f t="shared" si="12"/>
        <v>2696.8999999999996</v>
      </c>
      <c r="P38" s="306">
        <v>341.2</v>
      </c>
      <c r="Q38" s="306">
        <v>232.4</v>
      </c>
      <c r="R38" s="306">
        <v>379.9</v>
      </c>
      <c r="S38" s="306">
        <v>1596.5</v>
      </c>
      <c r="T38" s="306">
        <v>459.2</v>
      </c>
      <c r="U38" s="320" t="s">
        <v>572</v>
      </c>
      <c r="V38" s="319" t="s">
        <v>572</v>
      </c>
      <c r="W38" s="306">
        <v>503.6</v>
      </c>
      <c r="X38" s="306">
        <v>549.9</v>
      </c>
      <c r="Y38" s="306">
        <v>661.8</v>
      </c>
      <c r="Z38" s="306">
        <v>7962.4</v>
      </c>
      <c r="AA38" s="306">
        <v>2226.5</v>
      </c>
      <c r="AB38" s="306">
        <v>128.30000000000001</v>
      </c>
      <c r="AC38" s="306">
        <v>3738.2</v>
      </c>
      <c r="AD38" s="306">
        <v>648.6</v>
      </c>
      <c r="AE38" s="306">
        <v>2090.1999999999998</v>
      </c>
      <c r="AF38" s="306">
        <v>2811.3</v>
      </c>
      <c r="AG38" s="306">
        <v>1819.1</v>
      </c>
      <c r="AH38" s="306">
        <v>5609.4</v>
      </c>
      <c r="AI38" s="306">
        <v>948.5</v>
      </c>
      <c r="AJ38" s="306">
        <v>3061.7</v>
      </c>
      <c r="AK38" s="306">
        <v>3471</v>
      </c>
      <c r="AL38" s="306">
        <v>10395.5</v>
      </c>
      <c r="AM38" s="306">
        <v>49635.19999999999</v>
      </c>
      <c r="AN38" s="306">
        <f t="shared" si="13"/>
        <v>52332.099999999991</v>
      </c>
      <c r="AO38" s="306">
        <f t="shared" si="4"/>
        <v>-14580.799999999988</v>
      </c>
      <c r="AP38" s="320" t="s">
        <v>572</v>
      </c>
    </row>
    <row r="39" spans="1:42" s="276" customFormat="1" ht="10.7" customHeight="1">
      <c r="A39" s="169" t="s">
        <v>580</v>
      </c>
      <c r="B39" s="241">
        <v>133.19999999999999</v>
      </c>
      <c r="C39" s="241">
        <v>564</v>
      </c>
      <c r="D39" s="241">
        <v>2.2000000000000002</v>
      </c>
      <c r="E39" s="241">
        <v>974.6</v>
      </c>
      <c r="F39" s="241">
        <v>307.5</v>
      </c>
      <c r="G39" s="241">
        <v>32242.3</v>
      </c>
      <c r="H39" s="241">
        <v>0.1</v>
      </c>
      <c r="I39" s="241">
        <v>0.1</v>
      </c>
      <c r="J39" s="241">
        <v>0.1</v>
      </c>
      <c r="K39" s="241">
        <f t="shared" si="7"/>
        <v>3356.4000000000015</v>
      </c>
      <c r="L39" s="241">
        <v>37580.5</v>
      </c>
      <c r="M39" s="241">
        <v>778.1</v>
      </c>
      <c r="N39" s="241">
        <v>1352.9</v>
      </c>
      <c r="O39" s="241">
        <f t="shared" si="12"/>
        <v>2131</v>
      </c>
      <c r="P39" s="241">
        <v>351.5</v>
      </c>
      <c r="Q39" s="241">
        <v>242.9</v>
      </c>
      <c r="R39" s="241">
        <v>1097.9000000000001</v>
      </c>
      <c r="S39" s="241">
        <v>1984.4</v>
      </c>
      <c r="T39" s="241">
        <v>432.4</v>
      </c>
      <c r="U39" s="215" t="s">
        <v>580</v>
      </c>
      <c r="V39" s="168" t="s">
        <v>580</v>
      </c>
      <c r="W39" s="241">
        <v>701.5</v>
      </c>
      <c r="X39" s="241">
        <v>674.6</v>
      </c>
      <c r="Y39" s="241">
        <v>1584</v>
      </c>
      <c r="Z39" s="241">
        <v>5787.4</v>
      </c>
      <c r="AA39" s="241">
        <v>2775.8</v>
      </c>
      <c r="AB39" s="241">
        <v>138.6</v>
      </c>
      <c r="AC39" s="241">
        <v>3128.3</v>
      </c>
      <c r="AD39" s="241">
        <v>625</v>
      </c>
      <c r="AE39" s="241">
        <v>2230.6999999999998</v>
      </c>
      <c r="AF39" s="241">
        <v>2513.6</v>
      </c>
      <c r="AG39" s="241">
        <v>1956.7</v>
      </c>
      <c r="AH39" s="241">
        <v>6515.5</v>
      </c>
      <c r="AI39" s="241">
        <v>1199.5999999999999</v>
      </c>
      <c r="AJ39" s="241">
        <v>2963</v>
      </c>
      <c r="AK39" s="241">
        <v>3336.3</v>
      </c>
      <c r="AL39" s="241">
        <v>12124.5</v>
      </c>
      <c r="AM39" s="241">
        <v>52364.200000000004</v>
      </c>
      <c r="AN39" s="241">
        <f t="shared" si="13"/>
        <v>54495.200000000004</v>
      </c>
      <c r="AO39" s="241">
        <f t="shared" si="4"/>
        <v>-16914.700000000004</v>
      </c>
      <c r="AP39" s="215" t="s">
        <v>580</v>
      </c>
    </row>
    <row r="40" spans="1:42" s="276" customFormat="1" ht="10.7" customHeight="1">
      <c r="A40" s="328" t="s">
        <v>581</v>
      </c>
      <c r="B40" s="306">
        <v>117.1</v>
      </c>
      <c r="C40" s="306">
        <v>483.7</v>
      </c>
      <c r="D40" s="306">
        <v>2.8</v>
      </c>
      <c r="E40" s="306">
        <v>843.6</v>
      </c>
      <c r="F40" s="306">
        <v>291.5</v>
      </c>
      <c r="G40" s="306">
        <v>28792.1</v>
      </c>
      <c r="H40" s="306">
        <v>0.1</v>
      </c>
      <c r="I40" s="306">
        <v>0.1</v>
      </c>
      <c r="J40" s="306">
        <v>0.1</v>
      </c>
      <c r="K40" s="306">
        <f t="shared" si="7"/>
        <v>3177.1000000000022</v>
      </c>
      <c r="L40" s="306">
        <v>33708.199999999997</v>
      </c>
      <c r="M40" s="306">
        <v>660.5</v>
      </c>
      <c r="N40" s="306">
        <v>1209</v>
      </c>
      <c r="O40" s="306">
        <f t="shared" si="12"/>
        <v>1869.5</v>
      </c>
      <c r="P40" s="306">
        <v>282.60000000000002</v>
      </c>
      <c r="Q40" s="306">
        <v>320.5</v>
      </c>
      <c r="R40" s="306">
        <v>1015.5</v>
      </c>
      <c r="S40" s="306">
        <v>1375.6</v>
      </c>
      <c r="T40" s="306">
        <v>659.3</v>
      </c>
      <c r="U40" s="320" t="s">
        <v>581</v>
      </c>
      <c r="V40" s="319" t="s">
        <v>581</v>
      </c>
      <c r="W40" s="306">
        <v>1535.9</v>
      </c>
      <c r="X40" s="306">
        <v>609.29999999999995</v>
      </c>
      <c r="Y40" s="306">
        <v>625.6</v>
      </c>
      <c r="Z40" s="306">
        <v>6898.9</v>
      </c>
      <c r="AA40" s="306">
        <v>2005.5</v>
      </c>
      <c r="AB40" s="306">
        <v>140.6</v>
      </c>
      <c r="AC40" s="306">
        <v>1396</v>
      </c>
      <c r="AD40" s="306">
        <v>480.3</v>
      </c>
      <c r="AE40" s="306">
        <v>1985.6</v>
      </c>
      <c r="AF40" s="306">
        <v>2283.9</v>
      </c>
      <c r="AG40" s="306">
        <v>1699.5</v>
      </c>
      <c r="AH40" s="306">
        <v>4921.5</v>
      </c>
      <c r="AI40" s="306">
        <v>875.2</v>
      </c>
      <c r="AJ40" s="306">
        <v>2340.8000000000002</v>
      </c>
      <c r="AK40" s="306">
        <v>2215.9</v>
      </c>
      <c r="AL40" s="306">
        <v>9168.5</v>
      </c>
      <c r="AM40" s="306">
        <v>42836.5</v>
      </c>
      <c r="AN40" s="306">
        <f t="shared" si="13"/>
        <v>44706</v>
      </c>
      <c r="AO40" s="306">
        <f t="shared" ref="AO40" si="14">L40-AN40</f>
        <v>-10997.800000000003</v>
      </c>
      <c r="AP40" s="320" t="s">
        <v>581</v>
      </c>
    </row>
    <row r="41" spans="1:42" s="276" customFormat="1" ht="10.7" customHeight="1">
      <c r="A41" s="169" t="s">
        <v>573</v>
      </c>
      <c r="B41" s="241">
        <v>206.1</v>
      </c>
      <c r="C41" s="241">
        <v>536.29999999999995</v>
      </c>
      <c r="D41" s="241">
        <v>2.2000000000000002</v>
      </c>
      <c r="E41" s="241">
        <v>1096.0999999999999</v>
      </c>
      <c r="F41" s="241">
        <v>279.8</v>
      </c>
      <c r="G41" s="241">
        <v>30011</v>
      </c>
      <c r="H41" s="241">
        <v>0.1</v>
      </c>
      <c r="I41" s="241">
        <v>0.1</v>
      </c>
      <c r="J41" s="241">
        <v>0.1</v>
      </c>
      <c r="K41" s="241">
        <f t="shared" si="7"/>
        <v>3604.5000000000073</v>
      </c>
      <c r="L41" s="241">
        <v>35736.300000000003</v>
      </c>
      <c r="M41" s="241">
        <v>634.29999999999995</v>
      </c>
      <c r="N41" s="241">
        <v>2141.8000000000002</v>
      </c>
      <c r="O41" s="241">
        <f t="shared" si="12"/>
        <v>2776.1000000000004</v>
      </c>
      <c r="P41" s="241">
        <v>314.39999999999998</v>
      </c>
      <c r="Q41" s="241">
        <v>390.2</v>
      </c>
      <c r="R41" s="241">
        <v>993.7</v>
      </c>
      <c r="S41" s="241">
        <v>2426.1</v>
      </c>
      <c r="T41" s="241">
        <v>1002.4</v>
      </c>
      <c r="U41" s="215" t="s">
        <v>573</v>
      </c>
      <c r="V41" s="168" t="s">
        <v>573</v>
      </c>
      <c r="W41" s="241">
        <v>721.2</v>
      </c>
      <c r="X41" s="241">
        <v>828.3</v>
      </c>
      <c r="Y41" s="241">
        <v>1187.3</v>
      </c>
      <c r="Z41" s="241">
        <v>8595.9</v>
      </c>
      <c r="AA41" s="241">
        <v>2717.3</v>
      </c>
      <c r="AB41" s="241">
        <v>130.69999999999999</v>
      </c>
      <c r="AC41" s="241">
        <v>503.8</v>
      </c>
      <c r="AD41" s="241">
        <v>572.79999999999995</v>
      </c>
      <c r="AE41" s="241">
        <v>2458</v>
      </c>
      <c r="AF41" s="241">
        <v>2536.9</v>
      </c>
      <c r="AG41" s="241">
        <v>1840.6</v>
      </c>
      <c r="AH41" s="241">
        <v>5449.7</v>
      </c>
      <c r="AI41" s="241">
        <v>1222.0999999999999</v>
      </c>
      <c r="AJ41" s="241">
        <v>3404.2</v>
      </c>
      <c r="AK41" s="241">
        <v>2886</v>
      </c>
      <c r="AL41" s="241">
        <v>11256.5</v>
      </c>
      <c r="AM41" s="241">
        <v>51438.1</v>
      </c>
      <c r="AN41" s="241">
        <f t="shared" si="13"/>
        <v>54214.2</v>
      </c>
      <c r="AO41" s="241">
        <f t="shared" ref="AO41" si="15">L41-AN41</f>
        <v>-18477.899999999994</v>
      </c>
      <c r="AP41" s="215" t="s">
        <v>573</v>
      </c>
    </row>
    <row r="42" spans="1:42" s="276" customFormat="1" ht="10.7" customHeight="1">
      <c r="A42" s="1563" t="s">
        <v>582</v>
      </c>
      <c r="B42" s="306">
        <v>193.4</v>
      </c>
      <c r="C42" s="306">
        <v>574.9</v>
      </c>
      <c r="D42" s="306">
        <v>2</v>
      </c>
      <c r="E42" s="306">
        <v>866.8</v>
      </c>
      <c r="F42" s="306">
        <v>252.1</v>
      </c>
      <c r="G42" s="306">
        <v>24827.8</v>
      </c>
      <c r="H42" s="306">
        <v>0.1</v>
      </c>
      <c r="I42" s="306">
        <v>0.1</v>
      </c>
      <c r="J42" s="306">
        <v>0.1</v>
      </c>
      <c r="K42" s="306">
        <f t="shared" si="7"/>
        <v>2967.5000000000036</v>
      </c>
      <c r="L42" s="306">
        <v>29684.799999999999</v>
      </c>
      <c r="M42" s="306">
        <v>161.5</v>
      </c>
      <c r="N42" s="306">
        <v>1447.5</v>
      </c>
      <c r="O42" s="306">
        <f t="shared" si="12"/>
        <v>1609</v>
      </c>
      <c r="P42" s="306">
        <v>373.9</v>
      </c>
      <c r="Q42" s="306">
        <v>402.7</v>
      </c>
      <c r="R42" s="306">
        <v>267.8</v>
      </c>
      <c r="S42" s="306">
        <v>2494</v>
      </c>
      <c r="T42" s="306">
        <v>1277</v>
      </c>
      <c r="U42" s="320" t="s">
        <v>582</v>
      </c>
      <c r="V42" s="319" t="s">
        <v>582</v>
      </c>
      <c r="W42" s="306">
        <v>822.4</v>
      </c>
      <c r="X42" s="306">
        <v>849.9</v>
      </c>
      <c r="Y42" s="306">
        <v>605.5</v>
      </c>
      <c r="Z42" s="306">
        <v>6868.1</v>
      </c>
      <c r="AA42" s="306">
        <v>2516.5</v>
      </c>
      <c r="AB42" s="306">
        <v>157.9</v>
      </c>
      <c r="AC42" s="306">
        <v>363.2</v>
      </c>
      <c r="AD42" s="306">
        <v>575.29999999999995</v>
      </c>
      <c r="AE42" s="306">
        <v>2348.6</v>
      </c>
      <c r="AF42" s="306">
        <v>2284.6999999999998</v>
      </c>
      <c r="AG42" s="306">
        <v>1739.2</v>
      </c>
      <c r="AH42" s="306">
        <v>4919.7</v>
      </c>
      <c r="AI42" s="306">
        <v>1068.0999999999999</v>
      </c>
      <c r="AJ42" s="306">
        <v>3390.9</v>
      </c>
      <c r="AK42" s="306">
        <v>2796.2999999999997</v>
      </c>
      <c r="AL42" s="306">
        <v>10656.3</v>
      </c>
      <c r="AM42" s="306">
        <v>46778</v>
      </c>
      <c r="AN42" s="306">
        <f t="shared" ref="AN42" si="16">O42+AM42</f>
        <v>48387</v>
      </c>
      <c r="AO42" s="306">
        <f t="shared" ref="AO42" si="17">L42-AN42</f>
        <v>-18702.2</v>
      </c>
      <c r="AP42" s="320" t="s">
        <v>582</v>
      </c>
    </row>
    <row r="43" spans="1:42" s="276" customFormat="1" ht="10.7" customHeight="1">
      <c r="A43" s="547" t="s">
        <v>583</v>
      </c>
      <c r="B43" s="241">
        <v>164</v>
      </c>
      <c r="C43" s="241">
        <v>621.4</v>
      </c>
      <c r="D43" s="241">
        <v>3.8</v>
      </c>
      <c r="E43" s="241">
        <v>942.9</v>
      </c>
      <c r="F43" s="241">
        <v>279.5</v>
      </c>
      <c r="G43" s="241">
        <v>28920.6</v>
      </c>
      <c r="H43" s="241">
        <v>0.1</v>
      </c>
      <c r="I43" s="241">
        <v>0.1</v>
      </c>
      <c r="J43" s="241">
        <v>0.1</v>
      </c>
      <c r="K43" s="241">
        <f t="shared" si="7"/>
        <v>3231.3000000000102</v>
      </c>
      <c r="L43" s="241">
        <v>34163.800000000003</v>
      </c>
      <c r="M43" s="241">
        <v>61.5</v>
      </c>
      <c r="N43" s="241">
        <v>1901.1</v>
      </c>
      <c r="O43" s="241">
        <f t="shared" si="12"/>
        <v>1962.6</v>
      </c>
      <c r="P43" s="241">
        <v>395.1</v>
      </c>
      <c r="Q43" s="241">
        <v>399.5</v>
      </c>
      <c r="R43" s="241">
        <v>1470.4</v>
      </c>
      <c r="S43" s="241">
        <v>1998.9</v>
      </c>
      <c r="T43" s="241">
        <v>721.6</v>
      </c>
      <c r="U43" s="215" t="s">
        <v>583</v>
      </c>
      <c r="V43" s="168" t="s">
        <v>583</v>
      </c>
      <c r="W43" s="241">
        <v>1360.5</v>
      </c>
      <c r="X43" s="241">
        <v>733.6</v>
      </c>
      <c r="Y43" s="241">
        <v>1507.4</v>
      </c>
      <c r="Z43" s="241">
        <v>7407.9</v>
      </c>
      <c r="AA43" s="241">
        <v>3040.9</v>
      </c>
      <c r="AB43" s="241">
        <v>167.8</v>
      </c>
      <c r="AC43" s="241">
        <v>1194.2</v>
      </c>
      <c r="AD43" s="241">
        <v>761.7</v>
      </c>
      <c r="AE43" s="241">
        <v>2809.7</v>
      </c>
      <c r="AF43" s="241">
        <v>2857.8</v>
      </c>
      <c r="AG43" s="241">
        <v>2280.5</v>
      </c>
      <c r="AH43" s="241">
        <v>6047.4</v>
      </c>
      <c r="AI43" s="241">
        <v>1083.3</v>
      </c>
      <c r="AJ43" s="241">
        <v>5234.2</v>
      </c>
      <c r="AK43" s="241">
        <v>2678.7</v>
      </c>
      <c r="AL43" s="241">
        <v>12644.8</v>
      </c>
      <c r="AM43" s="241">
        <v>56795.899999999994</v>
      </c>
      <c r="AN43" s="241">
        <f t="shared" ref="AN43" si="18">O43+AM43</f>
        <v>58758.499999999993</v>
      </c>
      <c r="AO43" s="241">
        <f t="shared" ref="AO43" si="19">L43-AN43</f>
        <v>-24594.69999999999</v>
      </c>
      <c r="AP43" s="215" t="s">
        <v>583</v>
      </c>
    </row>
    <row r="44" spans="1:42" s="276" customFormat="1" ht="10.7" customHeight="1">
      <c r="A44" s="1563" t="s">
        <v>574</v>
      </c>
      <c r="B44" s="306">
        <v>152</v>
      </c>
      <c r="C44" s="306">
        <v>524.29999999999995</v>
      </c>
      <c r="D44" s="306">
        <v>0.5</v>
      </c>
      <c r="E44" s="306">
        <v>1097.0999999999999</v>
      </c>
      <c r="F44" s="306">
        <v>248.3</v>
      </c>
      <c r="G44" s="306">
        <v>27159.9</v>
      </c>
      <c r="H44" s="306">
        <v>0.1</v>
      </c>
      <c r="I44" s="306">
        <v>0.1</v>
      </c>
      <c r="J44" s="306">
        <v>0.1</v>
      </c>
      <c r="K44" s="306">
        <f>L44-SUM(B44:J44)</f>
        <v>3100.2000000000007</v>
      </c>
      <c r="L44" s="306">
        <v>32282.6</v>
      </c>
      <c r="M44" s="306">
        <v>15.3</v>
      </c>
      <c r="N44" s="306">
        <v>898.4</v>
      </c>
      <c r="O44" s="306">
        <f t="shared" si="12"/>
        <v>913.69999999999993</v>
      </c>
      <c r="P44" s="306">
        <v>346.4</v>
      </c>
      <c r="Q44" s="306">
        <v>403.3</v>
      </c>
      <c r="R44" s="306">
        <v>914.7</v>
      </c>
      <c r="S44" s="306">
        <v>1414.9</v>
      </c>
      <c r="T44" s="306">
        <v>815</v>
      </c>
      <c r="U44" s="320" t="s">
        <v>574</v>
      </c>
      <c r="V44" s="319" t="s">
        <v>574</v>
      </c>
      <c r="W44" s="306">
        <v>880.4</v>
      </c>
      <c r="X44" s="306">
        <v>624.9</v>
      </c>
      <c r="Y44" s="306">
        <v>960.8</v>
      </c>
      <c r="Z44" s="306">
        <v>6576.5</v>
      </c>
      <c r="AA44" s="306">
        <v>2217.6</v>
      </c>
      <c r="AB44" s="306">
        <v>143</v>
      </c>
      <c r="AC44" s="306">
        <v>1161.3</v>
      </c>
      <c r="AD44" s="306">
        <v>606.29999999999995</v>
      </c>
      <c r="AE44" s="306">
        <v>2239.3000000000002</v>
      </c>
      <c r="AF44" s="306">
        <v>2985.5</v>
      </c>
      <c r="AG44" s="306">
        <v>1895.5</v>
      </c>
      <c r="AH44" s="306">
        <v>4739.1000000000004</v>
      </c>
      <c r="AI44" s="306">
        <v>983.1</v>
      </c>
      <c r="AJ44" s="306">
        <v>3988</v>
      </c>
      <c r="AK44" s="306">
        <v>2501.4</v>
      </c>
      <c r="AL44" s="306">
        <v>10518.9</v>
      </c>
      <c r="AM44" s="306">
        <v>46915.9</v>
      </c>
      <c r="AN44" s="306">
        <f t="shared" ref="AN44" si="20">O44+AM44</f>
        <v>47829.599999999999</v>
      </c>
      <c r="AO44" s="306">
        <f t="shared" ref="AO44" si="21">L44-AN44</f>
        <v>-15547</v>
      </c>
      <c r="AP44" s="320" t="s">
        <v>574</v>
      </c>
    </row>
    <row r="45" spans="1:42" s="290" customFormat="1" ht="11.25" customHeight="1">
      <c r="A45" s="1731" t="s">
        <v>2514</v>
      </c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1680" t="s">
        <v>2514</v>
      </c>
      <c r="V45" s="1679" t="s">
        <v>2514</v>
      </c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1680" t="s">
        <v>2514</v>
      </c>
    </row>
    <row r="46" spans="1:42" s="276" customFormat="1" ht="10.7" customHeight="1">
      <c r="A46" s="1563" t="s">
        <v>576</v>
      </c>
      <c r="B46" s="306">
        <v>214.9</v>
      </c>
      <c r="C46" s="306">
        <v>654.1</v>
      </c>
      <c r="D46" s="306">
        <v>1.9</v>
      </c>
      <c r="E46" s="306">
        <v>1113.3</v>
      </c>
      <c r="F46" s="306">
        <v>275.89999999999998</v>
      </c>
      <c r="G46" s="306">
        <v>33455.4</v>
      </c>
      <c r="H46" s="306">
        <v>0.1</v>
      </c>
      <c r="I46" s="306">
        <v>0.1</v>
      </c>
      <c r="J46" s="306">
        <v>0.1</v>
      </c>
      <c r="K46" s="306">
        <f t="shared" ref="K46:K51" si="22">L46-SUM(B46:J46)</f>
        <v>3263.1000000000058</v>
      </c>
      <c r="L46" s="306">
        <v>38978.9</v>
      </c>
      <c r="M46" s="306">
        <v>18.399999999999999</v>
      </c>
      <c r="N46" s="306">
        <v>1917.3000000000002</v>
      </c>
      <c r="O46" s="306">
        <f t="shared" si="12"/>
        <v>1935.7000000000003</v>
      </c>
      <c r="P46" s="306">
        <v>319.7</v>
      </c>
      <c r="Q46" s="306">
        <v>531</v>
      </c>
      <c r="R46" s="306">
        <v>1180</v>
      </c>
      <c r="S46" s="306">
        <v>2083.6</v>
      </c>
      <c r="T46" s="306">
        <v>301.59999999999997</v>
      </c>
      <c r="U46" s="1705" t="s">
        <v>576</v>
      </c>
      <c r="V46" s="1563" t="s">
        <v>576</v>
      </c>
      <c r="W46" s="306">
        <v>1292.4000000000001</v>
      </c>
      <c r="X46" s="306">
        <v>714.09999999999991</v>
      </c>
      <c r="Y46" s="306">
        <v>849.5</v>
      </c>
      <c r="Z46" s="306">
        <v>9661.7999999999993</v>
      </c>
      <c r="AA46" s="306">
        <v>3125.7</v>
      </c>
      <c r="AB46" s="306">
        <v>193</v>
      </c>
      <c r="AC46" s="306">
        <v>2674.1</v>
      </c>
      <c r="AD46" s="306">
        <v>835</v>
      </c>
      <c r="AE46" s="306">
        <v>2650.7</v>
      </c>
      <c r="AF46" s="306">
        <v>3551.6000000000004</v>
      </c>
      <c r="AG46" s="306">
        <v>2392.2999999999997</v>
      </c>
      <c r="AH46" s="306">
        <v>5718.9999999999991</v>
      </c>
      <c r="AI46" s="306">
        <v>1172.8</v>
      </c>
      <c r="AJ46" s="306">
        <v>5463.9999999999991</v>
      </c>
      <c r="AK46" s="306">
        <v>3052.1</v>
      </c>
      <c r="AL46" s="306">
        <v>14088.5</v>
      </c>
      <c r="AM46" s="306">
        <v>61852.5</v>
      </c>
      <c r="AN46" s="306">
        <f t="shared" ref="AN46" si="23">O46+AM46</f>
        <v>63788.2</v>
      </c>
      <c r="AO46" s="306">
        <f t="shared" ref="AO46" si="24">L46-AN46</f>
        <v>-24809.299999999996</v>
      </c>
      <c r="AP46" s="1705" t="s">
        <v>576</v>
      </c>
    </row>
    <row r="47" spans="1:42" s="276" customFormat="1" ht="10.7" customHeight="1">
      <c r="A47" s="547" t="s">
        <v>112</v>
      </c>
      <c r="B47" s="241">
        <v>163.5</v>
      </c>
      <c r="C47" s="241">
        <v>578.70000000000005</v>
      </c>
      <c r="D47" s="241">
        <v>2.6</v>
      </c>
      <c r="E47" s="241">
        <v>1076.3</v>
      </c>
      <c r="F47" s="241">
        <v>287.2</v>
      </c>
      <c r="G47" s="241">
        <v>32949.1</v>
      </c>
      <c r="H47" s="241">
        <v>0.1</v>
      </c>
      <c r="I47" s="241">
        <v>0.1</v>
      </c>
      <c r="J47" s="241">
        <v>2.5</v>
      </c>
      <c r="K47" s="241">
        <f t="shared" si="22"/>
        <v>3216.3000000000029</v>
      </c>
      <c r="L47" s="241">
        <v>38276.400000000001</v>
      </c>
      <c r="M47" s="241">
        <v>6.1</v>
      </c>
      <c r="N47" s="241">
        <v>1108.8</v>
      </c>
      <c r="O47" s="241">
        <f t="shared" si="12"/>
        <v>1114.8999999999999</v>
      </c>
      <c r="P47" s="241">
        <v>350.5</v>
      </c>
      <c r="Q47" s="241">
        <v>416.3</v>
      </c>
      <c r="R47" s="241">
        <v>778.5</v>
      </c>
      <c r="S47" s="241">
        <v>2463.1999999999998</v>
      </c>
      <c r="T47" s="241">
        <v>468.3</v>
      </c>
      <c r="U47" s="1713" t="s">
        <v>112</v>
      </c>
      <c r="V47" s="547" t="s">
        <v>112</v>
      </c>
      <c r="W47" s="241">
        <v>1710.1</v>
      </c>
      <c r="X47" s="241">
        <v>666.4</v>
      </c>
      <c r="Y47" s="241">
        <v>214.3</v>
      </c>
      <c r="Z47" s="241">
        <v>9822.9</v>
      </c>
      <c r="AA47" s="241">
        <v>2886.5</v>
      </c>
      <c r="AB47" s="241">
        <v>194.20000000000002</v>
      </c>
      <c r="AC47" s="241">
        <v>1086.5</v>
      </c>
      <c r="AD47" s="241">
        <v>700.60000000000014</v>
      </c>
      <c r="AE47" s="241">
        <v>2798.3</v>
      </c>
      <c r="AF47" s="241">
        <v>2921.9000000000005</v>
      </c>
      <c r="AG47" s="241">
        <v>2503.7999999999997</v>
      </c>
      <c r="AH47" s="241">
        <v>5937.7</v>
      </c>
      <c r="AI47" s="241">
        <v>1129.4000000000001</v>
      </c>
      <c r="AJ47" s="241">
        <v>5139.2999999999993</v>
      </c>
      <c r="AK47" s="241">
        <v>2815.8</v>
      </c>
      <c r="AL47" s="241">
        <v>12848.2</v>
      </c>
      <c r="AM47" s="241">
        <v>57852.7</v>
      </c>
      <c r="AN47" s="241">
        <f t="shared" ref="AN47" si="25">O47+AM47</f>
        <v>58967.6</v>
      </c>
      <c r="AO47" s="241">
        <f t="shared" ref="AO47" si="26">L47-AN47</f>
        <v>-20691.199999999997</v>
      </c>
      <c r="AP47" s="1713" t="s">
        <v>112</v>
      </c>
    </row>
    <row r="48" spans="1:42" s="276" customFormat="1" ht="10.7" customHeight="1">
      <c r="A48" s="1563" t="s">
        <v>571</v>
      </c>
      <c r="B48" s="306">
        <v>114.5</v>
      </c>
      <c r="C48" s="306">
        <v>524.79999999999995</v>
      </c>
      <c r="D48" s="306">
        <v>2.1</v>
      </c>
      <c r="E48" s="306">
        <v>973.2</v>
      </c>
      <c r="F48" s="306">
        <v>225.8</v>
      </c>
      <c r="G48" s="306">
        <v>26482.5</v>
      </c>
      <c r="H48" s="306">
        <v>0.1</v>
      </c>
      <c r="I48" s="306">
        <v>0.1</v>
      </c>
      <c r="J48" s="306">
        <v>0.1</v>
      </c>
      <c r="K48" s="306">
        <f t="shared" si="22"/>
        <v>2681.6000000000022</v>
      </c>
      <c r="L48" s="306">
        <v>31004.799999999999</v>
      </c>
      <c r="M48" s="306">
        <v>3.6</v>
      </c>
      <c r="N48" s="306">
        <v>1455.9</v>
      </c>
      <c r="O48" s="306">
        <f t="shared" si="12"/>
        <v>1459.5</v>
      </c>
      <c r="P48" s="306">
        <v>269.7</v>
      </c>
      <c r="Q48" s="306">
        <v>296</v>
      </c>
      <c r="R48" s="306">
        <v>982.7</v>
      </c>
      <c r="S48" s="306">
        <v>1066.2</v>
      </c>
      <c r="T48" s="306">
        <v>423.2</v>
      </c>
      <c r="U48" s="1705" t="s">
        <v>571</v>
      </c>
      <c r="V48" s="1563" t="s">
        <v>571</v>
      </c>
      <c r="W48" s="306">
        <v>883.7</v>
      </c>
      <c r="X48" s="306">
        <v>495.4</v>
      </c>
      <c r="Y48" s="306">
        <v>955.52</v>
      </c>
      <c r="Z48" s="306">
        <v>7757.5</v>
      </c>
      <c r="AA48" s="306">
        <v>2527.3999999999996</v>
      </c>
      <c r="AB48" s="306">
        <v>134.19999999999999</v>
      </c>
      <c r="AC48" s="306">
        <v>785.1</v>
      </c>
      <c r="AD48" s="306">
        <v>664.3</v>
      </c>
      <c r="AE48" s="306">
        <v>2388.9</v>
      </c>
      <c r="AF48" s="306">
        <v>2193.6999999999998</v>
      </c>
      <c r="AG48" s="306">
        <v>2287.4</v>
      </c>
      <c r="AH48" s="306">
        <v>5234.2000000000007</v>
      </c>
      <c r="AI48" s="306">
        <v>870.59999999999991</v>
      </c>
      <c r="AJ48" s="306">
        <v>3802.9</v>
      </c>
      <c r="AK48" s="306">
        <v>2114.8000000000002</v>
      </c>
      <c r="AL48" s="306">
        <v>11231.999999999998</v>
      </c>
      <c r="AM48" s="306">
        <v>47365.420000000006</v>
      </c>
      <c r="AN48" s="306">
        <f t="shared" ref="AN48:AN49" si="27">O48+AM48</f>
        <v>48824.920000000006</v>
      </c>
      <c r="AO48" s="306">
        <f t="shared" ref="AO48:AO49" si="28">L48-AN48</f>
        <v>-17820.120000000006</v>
      </c>
      <c r="AP48" s="1705" t="s">
        <v>571</v>
      </c>
    </row>
    <row r="49" spans="1:44" s="276" customFormat="1" ht="10.7" customHeight="1">
      <c r="A49" s="547" t="s">
        <v>578</v>
      </c>
      <c r="B49" s="241">
        <v>106.9</v>
      </c>
      <c r="C49" s="241">
        <v>723.8</v>
      </c>
      <c r="D49" s="241">
        <v>1.6</v>
      </c>
      <c r="E49" s="241">
        <v>970.4</v>
      </c>
      <c r="F49" s="241">
        <v>303.8</v>
      </c>
      <c r="G49" s="241">
        <v>30895.5</v>
      </c>
      <c r="H49" s="241">
        <v>0.1</v>
      </c>
      <c r="I49" s="241">
        <v>0.1</v>
      </c>
      <c r="J49" s="241">
        <v>0.1</v>
      </c>
      <c r="K49" s="241">
        <f t="shared" si="22"/>
        <v>3206.4000000000015</v>
      </c>
      <c r="L49" s="241">
        <v>36208.699999999997</v>
      </c>
      <c r="M49" s="241">
        <v>38.799999999999997</v>
      </c>
      <c r="N49" s="241">
        <v>1109</v>
      </c>
      <c r="O49" s="241">
        <f t="shared" si="12"/>
        <v>1147.8</v>
      </c>
      <c r="P49" s="241">
        <v>318.39999999999998</v>
      </c>
      <c r="Q49" s="241">
        <v>339</v>
      </c>
      <c r="R49" s="241">
        <v>557.70000000000005</v>
      </c>
      <c r="S49" s="241">
        <v>2760.3</v>
      </c>
      <c r="T49" s="241">
        <v>393</v>
      </c>
      <c r="U49" s="1713" t="s">
        <v>578</v>
      </c>
      <c r="V49" s="547" t="s">
        <v>578</v>
      </c>
      <c r="W49" s="241">
        <v>996.5</v>
      </c>
      <c r="X49" s="241">
        <v>735</v>
      </c>
      <c r="Y49" s="241">
        <v>1056.8</v>
      </c>
      <c r="Z49" s="241">
        <v>9526</v>
      </c>
      <c r="AA49" s="241">
        <v>3140.6</v>
      </c>
      <c r="AB49" s="241">
        <v>188</v>
      </c>
      <c r="AC49" s="241">
        <v>1170.8000000000002</v>
      </c>
      <c r="AD49" s="241">
        <v>709</v>
      </c>
      <c r="AE49" s="241">
        <v>2669.1</v>
      </c>
      <c r="AF49" s="241">
        <v>2721.5</v>
      </c>
      <c r="AG49" s="241">
        <v>2670.6</v>
      </c>
      <c r="AH49" s="241">
        <v>5689.7999999999993</v>
      </c>
      <c r="AI49" s="241">
        <v>928.09999999999991</v>
      </c>
      <c r="AJ49" s="241">
        <v>5300.4</v>
      </c>
      <c r="AK49" s="241">
        <v>2795.7</v>
      </c>
      <c r="AL49" s="241">
        <v>13239.900000000001</v>
      </c>
      <c r="AM49" s="241">
        <f t="shared" ref="AM49" si="29">SUM(P49:T49)+SUM(W49:AL49)</f>
        <v>57906.2</v>
      </c>
      <c r="AN49" s="241">
        <f t="shared" si="27"/>
        <v>59054</v>
      </c>
      <c r="AO49" s="241">
        <f t="shared" si="28"/>
        <v>-22845.300000000003</v>
      </c>
      <c r="AP49" s="1713" t="s">
        <v>578</v>
      </c>
    </row>
    <row r="50" spans="1:44" s="276" customFormat="1" ht="10.7" customHeight="1">
      <c r="A50" s="1563" t="s">
        <v>579</v>
      </c>
      <c r="B50" s="306">
        <v>101.7</v>
      </c>
      <c r="C50" s="306">
        <v>706.6</v>
      </c>
      <c r="D50" s="306">
        <v>0.8</v>
      </c>
      <c r="E50" s="306">
        <v>1055.5999999999999</v>
      </c>
      <c r="F50" s="306">
        <v>323.89999999999998</v>
      </c>
      <c r="G50" s="306">
        <v>27043.5</v>
      </c>
      <c r="H50" s="306">
        <v>0.1</v>
      </c>
      <c r="I50" s="306">
        <v>0.1</v>
      </c>
      <c r="J50" s="306">
        <v>0.1</v>
      </c>
      <c r="K50" s="306">
        <f t="shared" si="22"/>
        <v>3022.8000000000065</v>
      </c>
      <c r="L50" s="306">
        <v>32255.200000000001</v>
      </c>
      <c r="M50" s="306">
        <v>16.5</v>
      </c>
      <c r="N50" s="306">
        <v>1428.8</v>
      </c>
      <c r="O50" s="306">
        <f t="shared" si="12"/>
        <v>1445.3</v>
      </c>
      <c r="P50" s="306">
        <v>427.5</v>
      </c>
      <c r="Q50" s="306">
        <v>335.3</v>
      </c>
      <c r="R50" s="306">
        <v>1085.0999999999999</v>
      </c>
      <c r="S50" s="306">
        <v>2517.1000000000004</v>
      </c>
      <c r="T50" s="306">
        <v>508.8</v>
      </c>
      <c r="U50" s="1705" t="s">
        <v>579</v>
      </c>
      <c r="V50" s="1563" t="s">
        <v>579</v>
      </c>
      <c r="W50" s="306">
        <v>1133.5</v>
      </c>
      <c r="X50" s="306">
        <v>606.5</v>
      </c>
      <c r="Y50" s="306">
        <v>609.70000000000005</v>
      </c>
      <c r="Z50" s="306">
        <v>11432.5</v>
      </c>
      <c r="AA50" s="306">
        <v>2950</v>
      </c>
      <c r="AB50" s="306">
        <v>171.89999999999998</v>
      </c>
      <c r="AC50" s="306">
        <v>2596.5</v>
      </c>
      <c r="AD50" s="306">
        <v>677.60000000000014</v>
      </c>
      <c r="AE50" s="306">
        <v>2914.8999999999996</v>
      </c>
      <c r="AF50" s="306">
        <v>3188.6</v>
      </c>
      <c r="AG50" s="306">
        <v>2689.5</v>
      </c>
      <c r="AH50" s="306">
        <v>5808.4</v>
      </c>
      <c r="AI50" s="306">
        <v>1057.9000000000001</v>
      </c>
      <c r="AJ50" s="306">
        <v>5018.3999999999996</v>
      </c>
      <c r="AK50" s="306">
        <v>2817.8</v>
      </c>
      <c r="AL50" s="306">
        <v>12840.199999999997</v>
      </c>
      <c r="AM50" s="306">
        <f>SUM(P50:T50)+SUM(W50:AL50)</f>
        <v>61387.700000000004</v>
      </c>
      <c r="AN50" s="306">
        <f>O50+AM50</f>
        <v>62833.000000000007</v>
      </c>
      <c r="AO50" s="306">
        <f>L50-AN50</f>
        <v>-30577.800000000007</v>
      </c>
      <c r="AP50" s="1705" t="s">
        <v>579</v>
      </c>
    </row>
    <row r="51" spans="1:44" s="276" customFormat="1" ht="10.7" customHeight="1" thickBot="1">
      <c r="A51" s="1822" t="s">
        <v>572</v>
      </c>
      <c r="B51" s="1823">
        <f>124+0.4</f>
        <v>124.4</v>
      </c>
      <c r="C51" s="1823">
        <f>621+16</f>
        <v>637</v>
      </c>
      <c r="D51" s="1823">
        <f>3+0</f>
        <v>3</v>
      </c>
      <c r="E51" s="1823">
        <f>852+1</f>
        <v>853</v>
      </c>
      <c r="F51" s="1823">
        <f>91+188+0+0</f>
        <v>279</v>
      </c>
      <c r="G51" s="1823">
        <f>23380+3227</f>
        <v>26607</v>
      </c>
      <c r="H51" s="1823">
        <v>0</v>
      </c>
      <c r="I51" s="1823">
        <v>0</v>
      </c>
      <c r="J51" s="1823">
        <v>0</v>
      </c>
      <c r="K51" s="1823">
        <f t="shared" si="22"/>
        <v>3199.5999999999985</v>
      </c>
      <c r="L51" s="1823">
        <f>27557+4146</f>
        <v>31703</v>
      </c>
      <c r="M51" s="1823">
        <v>16.5</v>
      </c>
      <c r="N51" s="1823">
        <v>1106.8</v>
      </c>
      <c r="O51" s="1823">
        <f t="shared" si="12"/>
        <v>1123.3</v>
      </c>
      <c r="P51" s="1823">
        <v>332.5</v>
      </c>
      <c r="Q51" s="1823">
        <v>300</v>
      </c>
      <c r="R51" s="1823">
        <v>1272.4000000000001</v>
      </c>
      <c r="S51" s="1823">
        <v>1728.9</v>
      </c>
      <c r="T51" s="1823">
        <v>482.2</v>
      </c>
      <c r="U51" s="1824" t="s">
        <v>572</v>
      </c>
      <c r="V51" s="1822" t="s">
        <v>572</v>
      </c>
      <c r="W51" s="1823">
        <v>764.8</v>
      </c>
      <c r="X51" s="1823">
        <v>565.6</v>
      </c>
      <c r="Y51" s="1823">
        <v>596.9</v>
      </c>
      <c r="Z51" s="1823">
        <v>7437.2000000000007</v>
      </c>
      <c r="AA51" s="1823">
        <v>2548.9</v>
      </c>
      <c r="AB51" s="1823">
        <v>114.5</v>
      </c>
      <c r="AC51" s="1823">
        <v>1896.8</v>
      </c>
      <c r="AD51" s="1823">
        <v>613.29999999999995</v>
      </c>
      <c r="AE51" s="1823">
        <v>2150.8000000000002</v>
      </c>
      <c r="AF51" s="1823">
        <v>2960.6</v>
      </c>
      <c r="AG51" s="1823">
        <v>2226</v>
      </c>
      <c r="AH51" s="1823">
        <v>4334.8</v>
      </c>
      <c r="AI51" s="1823">
        <v>837.3</v>
      </c>
      <c r="AJ51" s="1823">
        <v>4770.0999999999995</v>
      </c>
      <c r="AK51" s="1823">
        <v>4304.49</v>
      </c>
      <c r="AL51" s="1823">
        <v>13202.099999999999</v>
      </c>
      <c r="AM51" s="1823">
        <f t="shared" ref="AM51" si="30">SUM(P51:T51)+SUM(W51:AL51)</f>
        <v>53440.189999999995</v>
      </c>
      <c r="AN51" s="1823">
        <f t="shared" ref="AN51" si="31">O51+AM51</f>
        <v>54563.49</v>
      </c>
      <c r="AO51" s="1823">
        <f t="shared" ref="AO51" si="32">L51-AN51</f>
        <v>-22860.489999999998</v>
      </c>
      <c r="AP51" s="1824" t="s">
        <v>572</v>
      </c>
    </row>
    <row r="52" spans="1:44" s="39" customFormat="1" ht="10.5" customHeight="1">
      <c r="A52" s="1782" t="s">
        <v>756</v>
      </c>
      <c r="B52" s="2203" t="s">
        <v>2799</v>
      </c>
      <c r="C52" s="2203"/>
      <c r="D52" s="2203"/>
      <c r="E52" s="2203"/>
      <c r="F52" s="2203"/>
      <c r="G52" s="2203"/>
      <c r="H52" s="2203"/>
      <c r="I52" s="2203"/>
      <c r="J52" s="2203"/>
      <c r="K52" s="2203"/>
      <c r="M52" s="1782" t="s">
        <v>1182</v>
      </c>
      <c r="N52" s="2202" t="s">
        <v>2795</v>
      </c>
      <c r="O52" s="2202"/>
      <c r="P52" s="2202"/>
      <c r="Q52" s="2202"/>
      <c r="R52" s="2202"/>
      <c r="S52" s="2202"/>
      <c r="T52" s="48"/>
      <c r="U52" s="48"/>
      <c r="V52" s="1782" t="s">
        <v>16</v>
      </c>
      <c r="W52" s="2202" t="s">
        <v>1301</v>
      </c>
      <c r="X52" s="2202"/>
      <c r="Y52" s="2202"/>
      <c r="Z52" s="2202"/>
      <c r="AA52" s="206"/>
      <c r="AB52" s="206"/>
      <c r="AC52" s="2200" t="s">
        <v>1390</v>
      </c>
      <c r="AD52" s="2200"/>
      <c r="AE52" s="43"/>
      <c r="AF52" s="205"/>
      <c r="AG52" s="205"/>
      <c r="AH52" s="140"/>
      <c r="AI52" s="140"/>
      <c r="AJ52" s="140"/>
      <c r="AK52" s="140"/>
      <c r="AL52" s="140"/>
      <c r="AM52" s="397"/>
      <c r="AN52" s="1425"/>
      <c r="AO52" s="205"/>
      <c r="AP52" s="212"/>
    </row>
    <row r="53" spans="1:44" s="39" customFormat="1" ht="10.5" customHeight="1">
      <c r="A53" s="111"/>
      <c r="B53" s="2202" t="s">
        <v>2800</v>
      </c>
      <c r="C53" s="2202"/>
      <c r="D53" s="2202"/>
      <c r="E53" s="2202"/>
      <c r="F53" s="2202"/>
      <c r="G53" s="2202"/>
      <c r="H53" s="2202"/>
      <c r="I53" s="2202"/>
      <c r="J53" s="2202"/>
      <c r="K53" s="2202"/>
      <c r="L53" s="2202"/>
      <c r="M53" s="1784"/>
      <c r="N53" s="2202" t="s">
        <v>2796</v>
      </c>
      <c r="O53" s="2202"/>
      <c r="P53" s="2202"/>
      <c r="Q53" s="2202"/>
      <c r="R53" s="2202"/>
      <c r="S53" s="2202"/>
      <c r="T53" s="2202"/>
      <c r="U53" s="1783"/>
      <c r="V53" s="1783"/>
      <c r="W53" s="1783"/>
      <c r="X53" s="178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1000"/>
      <c r="AM53" s="1000"/>
      <c r="AN53" s="1000"/>
      <c r="AO53" s="1000"/>
      <c r="AP53" s="212"/>
      <c r="AR53" s="1008"/>
    </row>
    <row r="54" spans="1:44">
      <c r="A54" s="204"/>
      <c r="B54" s="2202"/>
      <c r="C54" s="2202"/>
      <c r="D54" s="2202"/>
      <c r="E54" s="2202"/>
      <c r="F54" s="2202"/>
      <c r="G54" s="2202"/>
      <c r="H54" s="2202"/>
      <c r="I54" s="2202"/>
      <c r="J54" s="2202"/>
      <c r="K54" s="2202"/>
      <c r="L54" s="2202"/>
      <c r="M54" s="1785"/>
      <c r="N54" s="2202"/>
      <c r="O54" s="2202"/>
      <c r="P54" s="2202"/>
      <c r="Q54" s="2202"/>
      <c r="R54" s="2202"/>
      <c r="S54" s="2202"/>
      <c r="T54" s="2202"/>
      <c r="U54" s="1783"/>
      <c r="V54" s="1783"/>
      <c r="W54" s="1783"/>
      <c r="X54" s="178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212"/>
      <c r="AR54" s="639"/>
    </row>
    <row r="55" spans="1:44" ht="10.5" customHeight="1">
      <c r="A55" s="1782" t="s">
        <v>1182</v>
      </c>
      <c r="B55" s="2201" t="s">
        <v>2801</v>
      </c>
      <c r="C55" s="2201"/>
      <c r="D55" s="2201"/>
      <c r="E55" s="2201"/>
      <c r="F55" s="2201"/>
      <c r="G55" s="2201"/>
      <c r="H55" s="2201"/>
      <c r="I55" s="639"/>
      <c r="K55" s="1449"/>
      <c r="L55" s="1012"/>
      <c r="M55" s="211"/>
      <c r="N55" s="1786"/>
      <c r="O55" s="1786"/>
      <c r="P55" s="1781"/>
      <c r="Q55" s="1787"/>
      <c r="R55" s="1787"/>
      <c r="S55" s="1787"/>
      <c r="T55" s="1788"/>
      <c r="U55" s="1787"/>
      <c r="V55" s="1781"/>
      <c r="W55" s="1789"/>
      <c r="X55" s="1790"/>
      <c r="AN55" s="639"/>
      <c r="AO55" s="639"/>
    </row>
    <row r="56" spans="1:44" ht="9.75" customHeight="1">
      <c r="B56" s="67" t="s">
        <v>2794</v>
      </c>
      <c r="C56" s="67"/>
      <c r="D56" s="67"/>
      <c r="E56" s="1247"/>
      <c r="F56" s="67"/>
      <c r="G56" s="1247"/>
      <c r="H56" s="1247"/>
      <c r="I56" s="67"/>
      <c r="J56" s="67"/>
      <c r="K56" s="67"/>
      <c r="L56" s="67"/>
      <c r="M56" s="1791"/>
      <c r="N56" s="211"/>
      <c r="O56" s="1791"/>
      <c r="P56" s="211"/>
      <c r="Q56" s="211"/>
      <c r="R56" s="211"/>
      <c r="S56" s="211"/>
      <c r="T56" s="211"/>
      <c r="U56" s="211"/>
      <c r="V56" s="211"/>
      <c r="W56" s="211"/>
      <c r="X56" s="211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</row>
    <row r="57" spans="1:44">
      <c r="C57" s="639"/>
      <c r="E57" s="639"/>
      <c r="F57" s="860"/>
      <c r="G57" s="639"/>
      <c r="H57" s="639"/>
      <c r="I57" s="1109"/>
      <c r="M57" s="639"/>
      <c r="N57" s="639"/>
      <c r="O57" s="639"/>
      <c r="W57" s="639"/>
      <c r="X57" s="639"/>
      <c r="Y57" s="639"/>
      <c r="Z57" s="639"/>
      <c r="AA57" s="639"/>
      <c r="AB57" s="639"/>
      <c r="AC57" s="639"/>
      <c r="AD57" s="639"/>
      <c r="AE57" s="639"/>
      <c r="AF57" s="639"/>
      <c r="AG57" s="639"/>
      <c r="AH57" s="639"/>
      <c r="AI57" s="639"/>
      <c r="AJ57" s="639"/>
    </row>
    <row r="58" spans="1:44">
      <c r="B58" s="639"/>
      <c r="C58" s="639"/>
      <c r="D58" s="639"/>
      <c r="E58" s="639"/>
      <c r="F58" s="639"/>
      <c r="G58" s="639"/>
      <c r="H58" s="639"/>
      <c r="I58" s="639"/>
      <c r="J58" s="639"/>
      <c r="K58" s="639"/>
      <c r="L58" s="639"/>
      <c r="M58" s="639"/>
      <c r="N58" s="639"/>
      <c r="O58" s="639"/>
      <c r="P58" s="639"/>
      <c r="Q58" s="639"/>
      <c r="R58" s="639"/>
      <c r="S58" s="639"/>
      <c r="T58" s="639"/>
      <c r="U58" s="639"/>
      <c r="V58" s="639"/>
      <c r="W58" s="639"/>
      <c r="X58" s="639"/>
      <c r="Y58" s="639"/>
      <c r="Z58" s="639"/>
      <c r="AA58" s="639"/>
      <c r="AB58" s="639"/>
      <c r="AC58" s="639"/>
      <c r="AD58" s="639"/>
      <c r="AE58" s="639"/>
      <c r="AF58" s="639"/>
      <c r="AG58" s="639"/>
      <c r="AH58" s="639"/>
      <c r="AI58" s="639"/>
      <c r="AJ58" s="639"/>
      <c r="AK58" s="639"/>
      <c r="AL58" s="639"/>
      <c r="AM58" s="639"/>
      <c r="AN58" s="639"/>
      <c r="AO58" s="639"/>
      <c r="AP58" s="639"/>
    </row>
    <row r="59" spans="1:44">
      <c r="C59" s="639"/>
      <c r="G59" s="639"/>
      <c r="H59" s="639"/>
      <c r="J59" s="639"/>
      <c r="K59" s="639"/>
      <c r="L59" s="1013"/>
      <c r="W59" s="639"/>
    </row>
    <row r="60" spans="1:44">
      <c r="J60" s="639"/>
      <c r="K60" s="639"/>
      <c r="M60" s="639"/>
      <c r="N60" s="639"/>
      <c r="O60" s="639"/>
      <c r="P60" s="639"/>
      <c r="Q60" s="639"/>
      <c r="R60" s="639"/>
      <c r="S60" s="639"/>
      <c r="T60" s="639"/>
      <c r="U60" s="1247"/>
      <c r="V60" s="1247"/>
      <c r="W60" s="1247"/>
      <c r="X60" s="1247"/>
      <c r="Y60" s="1247"/>
      <c r="Z60" s="1247"/>
      <c r="AA60" s="1247"/>
      <c r="AB60" s="1247"/>
      <c r="AC60" s="1247"/>
      <c r="AD60" s="1247"/>
      <c r="AE60" s="1247"/>
      <c r="AF60" s="1247"/>
      <c r="AG60" s="1247"/>
      <c r="AH60" s="1247"/>
      <c r="AI60" s="1247"/>
      <c r="AJ60" s="1247"/>
      <c r="AK60" s="1247"/>
    </row>
    <row r="61" spans="1:44">
      <c r="G61" s="639"/>
      <c r="J61" s="639"/>
      <c r="N61" s="639"/>
      <c r="O61" s="639"/>
      <c r="P61" s="639"/>
      <c r="Q61" s="639"/>
      <c r="R61" s="639"/>
      <c r="S61" s="639"/>
      <c r="T61" s="639"/>
      <c r="U61" s="1247"/>
      <c r="V61" s="1247"/>
      <c r="W61" s="1247"/>
      <c r="X61" s="1247"/>
      <c r="Y61" s="1247"/>
      <c r="Z61" s="1247"/>
      <c r="AA61" s="1247"/>
      <c r="AB61" s="1247"/>
      <c r="AC61" s="1247"/>
      <c r="AD61" s="1247"/>
      <c r="AE61" s="1247"/>
      <c r="AF61" s="1247"/>
      <c r="AG61" s="1247"/>
      <c r="AH61" s="1247"/>
      <c r="AI61" s="1247"/>
      <c r="AJ61" s="1247"/>
    </row>
    <row r="62" spans="1:44">
      <c r="J62" s="639"/>
      <c r="W62" s="639"/>
    </row>
    <row r="63" spans="1:44">
      <c r="J63" s="639"/>
    </row>
    <row r="64" spans="1:44">
      <c r="M64" s="639"/>
      <c r="N64" s="639"/>
      <c r="O64" s="639"/>
      <c r="P64" s="639"/>
      <c r="Q64" s="639"/>
      <c r="R64" s="639"/>
      <c r="S64" s="639"/>
      <c r="T64" s="639"/>
      <c r="W64" s="639"/>
      <c r="X64" s="639"/>
      <c r="Y64" s="639"/>
      <c r="Z64" s="639"/>
      <c r="AA64" s="639"/>
      <c r="AB64" s="639"/>
      <c r="AC64" s="639"/>
      <c r="AD64" s="639"/>
      <c r="AE64" s="639"/>
      <c r="AF64" s="639"/>
      <c r="AG64" s="639"/>
      <c r="AH64" s="639"/>
      <c r="AI64" s="639"/>
      <c r="AJ64" s="639"/>
      <c r="AK64" s="639"/>
      <c r="AL64" s="639"/>
      <c r="AM64" s="639"/>
      <c r="AN64" s="639"/>
      <c r="AO64" s="639"/>
    </row>
    <row r="65" spans="2:41">
      <c r="B65" s="639"/>
      <c r="C65" s="639"/>
      <c r="D65" s="639"/>
      <c r="E65" s="639"/>
      <c r="F65" s="639"/>
      <c r="G65" s="639"/>
      <c r="H65" s="639"/>
      <c r="I65" s="639"/>
      <c r="J65" s="639"/>
      <c r="K65" s="639"/>
      <c r="M65" s="639"/>
      <c r="N65" s="639"/>
      <c r="O65" s="639"/>
      <c r="P65" s="639"/>
      <c r="Q65" s="639"/>
      <c r="R65" s="639"/>
      <c r="S65" s="639"/>
      <c r="T65" s="639"/>
      <c r="W65" s="639"/>
      <c r="X65" s="639"/>
      <c r="Y65" s="639"/>
      <c r="Z65" s="639"/>
      <c r="AA65" s="639"/>
      <c r="AB65" s="639"/>
      <c r="AC65" s="639"/>
      <c r="AD65" s="639"/>
      <c r="AE65" s="639"/>
      <c r="AF65" s="639"/>
      <c r="AG65" s="639"/>
      <c r="AH65" s="639"/>
      <c r="AI65" s="639"/>
      <c r="AJ65" s="639"/>
      <c r="AK65" s="639"/>
      <c r="AL65" s="639"/>
      <c r="AM65" s="639"/>
      <c r="AN65" s="639"/>
      <c r="AO65" s="639"/>
    </row>
    <row r="66" spans="2:41">
      <c r="B66" s="639"/>
      <c r="C66" s="639"/>
      <c r="D66" s="639"/>
      <c r="E66" s="639"/>
      <c r="F66" s="639"/>
      <c r="G66" s="639"/>
      <c r="H66" s="639"/>
      <c r="I66" s="639"/>
      <c r="J66" s="639"/>
      <c r="K66" s="639"/>
      <c r="M66" s="639"/>
      <c r="N66" s="639"/>
      <c r="O66" s="639"/>
      <c r="P66" s="639"/>
      <c r="Q66" s="639"/>
      <c r="R66" s="639"/>
      <c r="S66" s="639"/>
      <c r="T66" s="639"/>
      <c r="W66" s="639"/>
      <c r="X66" s="639"/>
      <c r="Y66" s="639"/>
      <c r="Z66" s="639"/>
      <c r="AA66" s="639"/>
      <c r="AB66" s="639"/>
      <c r="AC66" s="639"/>
      <c r="AD66" s="639"/>
      <c r="AE66" s="639"/>
      <c r="AF66" s="639"/>
      <c r="AG66" s="639"/>
      <c r="AH66" s="639"/>
      <c r="AI66" s="639"/>
      <c r="AJ66" s="639"/>
      <c r="AK66" s="639"/>
      <c r="AL66" s="639"/>
      <c r="AM66" s="639"/>
      <c r="AN66" s="639"/>
      <c r="AO66" s="639"/>
    </row>
    <row r="67" spans="2:41">
      <c r="B67" s="639"/>
      <c r="C67" s="639"/>
      <c r="D67" s="639"/>
      <c r="E67" s="639"/>
      <c r="F67" s="639"/>
      <c r="G67" s="639"/>
      <c r="H67" s="639"/>
      <c r="I67" s="639"/>
      <c r="J67" s="639"/>
      <c r="K67" s="639"/>
      <c r="M67" s="639"/>
      <c r="N67" s="639"/>
      <c r="O67" s="639"/>
      <c r="P67" s="639"/>
      <c r="Q67" s="639"/>
      <c r="R67" s="639"/>
      <c r="S67" s="639"/>
      <c r="T67" s="639"/>
      <c r="W67" s="639"/>
      <c r="X67" s="639"/>
      <c r="Y67" s="639"/>
      <c r="Z67" s="639"/>
      <c r="AA67" s="639"/>
      <c r="AB67" s="639"/>
      <c r="AC67" s="639"/>
      <c r="AD67" s="639"/>
      <c r="AE67" s="639"/>
      <c r="AF67" s="639"/>
      <c r="AG67" s="639"/>
      <c r="AH67" s="639"/>
      <c r="AI67" s="639"/>
      <c r="AJ67" s="639"/>
      <c r="AK67" s="639"/>
      <c r="AL67" s="639"/>
      <c r="AM67" s="639"/>
      <c r="AN67" s="639"/>
      <c r="AO67" s="639"/>
    </row>
    <row r="68" spans="2:41">
      <c r="B68" s="639"/>
      <c r="C68" s="639"/>
      <c r="D68" s="639"/>
      <c r="E68" s="639"/>
      <c r="F68" s="639"/>
      <c r="G68" s="639"/>
      <c r="H68" s="639"/>
      <c r="I68" s="639"/>
      <c r="J68" s="639"/>
      <c r="K68" s="639"/>
      <c r="M68" s="639"/>
      <c r="N68" s="639"/>
      <c r="O68" s="639"/>
      <c r="P68" s="639"/>
      <c r="Q68" s="639"/>
      <c r="R68" s="639"/>
      <c r="S68" s="639"/>
      <c r="T68" s="639"/>
      <c r="W68" s="639"/>
      <c r="X68" s="639"/>
      <c r="Y68" s="639"/>
      <c r="Z68" s="639"/>
      <c r="AA68" s="639"/>
      <c r="AB68" s="639"/>
      <c r="AC68" s="639"/>
      <c r="AD68" s="639"/>
      <c r="AE68" s="639"/>
      <c r="AF68" s="639"/>
      <c r="AG68" s="639"/>
      <c r="AH68" s="639"/>
      <c r="AI68" s="639"/>
      <c r="AJ68" s="639"/>
      <c r="AK68" s="639"/>
      <c r="AL68" s="639"/>
      <c r="AM68" s="639"/>
      <c r="AN68" s="639"/>
      <c r="AO68" s="639"/>
    </row>
    <row r="69" spans="2:41">
      <c r="B69" s="639"/>
      <c r="C69" s="639"/>
      <c r="D69" s="639"/>
      <c r="E69" s="639"/>
      <c r="F69" s="639"/>
      <c r="G69" s="639"/>
      <c r="H69" s="639"/>
      <c r="I69" s="639"/>
      <c r="J69" s="639"/>
      <c r="K69" s="639"/>
      <c r="M69" s="639"/>
      <c r="N69" s="639"/>
      <c r="O69" s="639"/>
      <c r="P69" s="639"/>
      <c r="Q69" s="639"/>
      <c r="R69" s="639"/>
      <c r="S69" s="639"/>
      <c r="T69" s="639"/>
      <c r="W69" s="639"/>
      <c r="X69" s="639"/>
      <c r="Y69" s="639"/>
      <c r="Z69" s="639"/>
      <c r="AA69" s="639"/>
      <c r="AB69" s="639"/>
      <c r="AC69" s="639"/>
      <c r="AD69" s="639"/>
      <c r="AE69" s="639"/>
      <c r="AF69" s="639"/>
      <c r="AG69" s="639"/>
      <c r="AH69" s="639"/>
      <c r="AI69" s="639"/>
      <c r="AJ69" s="639"/>
      <c r="AK69" s="639"/>
      <c r="AL69" s="639"/>
      <c r="AM69" s="639"/>
      <c r="AN69" s="639"/>
      <c r="AO69" s="639"/>
    </row>
    <row r="70" spans="2:41">
      <c r="B70" s="639"/>
      <c r="C70" s="639"/>
      <c r="D70" s="639"/>
      <c r="E70" s="639"/>
      <c r="F70" s="639"/>
      <c r="G70" s="639"/>
      <c r="H70" s="639"/>
      <c r="I70" s="639"/>
      <c r="J70" s="639"/>
      <c r="K70" s="639"/>
      <c r="W70" s="639"/>
    </row>
    <row r="71" spans="2:41">
      <c r="B71" s="639"/>
      <c r="C71" s="639"/>
      <c r="D71" s="639"/>
      <c r="E71" s="639"/>
      <c r="F71" s="639"/>
      <c r="G71" s="639"/>
      <c r="H71" s="639"/>
      <c r="I71" s="639"/>
      <c r="J71" s="639"/>
      <c r="K71" s="639"/>
      <c r="W71" s="639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5:H55"/>
    <mergeCell ref="B53:L54"/>
    <mergeCell ref="W52:Z52"/>
    <mergeCell ref="N52:S52"/>
    <mergeCell ref="N53:T54"/>
    <mergeCell ref="B52:K52"/>
    <mergeCell ref="AN3:AN5"/>
    <mergeCell ref="M3:T3"/>
    <mergeCell ref="U3:U6"/>
    <mergeCell ref="P4:T4"/>
    <mergeCell ref="AC52:AD52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0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E52" sqref="E52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08" t="s">
        <v>118</v>
      </c>
      <c r="B1" s="2208"/>
      <c r="C1" s="2208"/>
      <c r="D1" s="2208"/>
      <c r="E1" s="2208"/>
      <c r="F1" s="2208"/>
      <c r="G1" s="2208"/>
      <c r="H1" s="2209" t="s">
        <v>119</v>
      </c>
      <c r="I1" s="2209"/>
      <c r="J1" s="2209"/>
      <c r="K1" s="2209"/>
      <c r="M1" s="2208" t="s">
        <v>233</v>
      </c>
      <c r="N1" s="2208"/>
      <c r="O1" s="2208" t="s">
        <v>118</v>
      </c>
      <c r="P1" s="2208"/>
      <c r="Q1" s="2208"/>
      <c r="R1" s="2208"/>
      <c r="S1" s="2208"/>
      <c r="T1" s="2208"/>
      <c r="U1" s="2208"/>
      <c r="V1" s="2209" t="s">
        <v>119</v>
      </c>
      <c r="W1" s="2209"/>
      <c r="X1" s="2209"/>
      <c r="Y1" s="2209"/>
      <c r="Z1" s="24"/>
      <c r="AA1" s="2207" t="s">
        <v>293</v>
      </c>
      <c r="AB1" s="2207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4" customFormat="1" ht="20.25" customHeight="1">
      <c r="A3" s="2210" t="s">
        <v>498</v>
      </c>
      <c r="B3" s="2213" t="s">
        <v>173</v>
      </c>
      <c r="C3" s="2214"/>
      <c r="D3" s="2213" t="s">
        <v>174</v>
      </c>
      <c r="E3" s="2214"/>
      <c r="F3" s="2213" t="s">
        <v>175</v>
      </c>
      <c r="G3" s="2214"/>
      <c r="H3" s="2213" t="s">
        <v>510</v>
      </c>
      <c r="I3" s="2214"/>
      <c r="J3" s="2213" t="s">
        <v>291</v>
      </c>
      <c r="K3" s="2214"/>
      <c r="L3" s="2213" t="s">
        <v>292</v>
      </c>
      <c r="M3" s="2214"/>
      <c r="N3" s="2210" t="s">
        <v>498</v>
      </c>
      <c r="O3" s="2210" t="s">
        <v>498</v>
      </c>
      <c r="P3" s="2213" t="s">
        <v>294</v>
      </c>
      <c r="Q3" s="2214"/>
      <c r="R3" s="2213" t="s">
        <v>295</v>
      </c>
      <c r="S3" s="2214"/>
      <c r="T3" s="2213" t="s">
        <v>296</v>
      </c>
      <c r="U3" s="2214"/>
      <c r="V3" s="2213" t="s">
        <v>111</v>
      </c>
      <c r="W3" s="2214"/>
      <c r="X3" s="2213" t="s">
        <v>297</v>
      </c>
      <c r="Y3" s="2214"/>
      <c r="Z3" s="2213" t="s">
        <v>114</v>
      </c>
      <c r="AA3" s="2214"/>
      <c r="AB3" s="2210" t="s">
        <v>498</v>
      </c>
    </row>
    <row r="4" spans="1:29" s="648" customFormat="1" ht="23.25" customHeight="1">
      <c r="A4" s="2211"/>
      <c r="B4" s="2047" t="s">
        <v>1640</v>
      </c>
      <c r="C4" s="2047" t="s">
        <v>1643</v>
      </c>
      <c r="D4" s="2047" t="s">
        <v>1640</v>
      </c>
      <c r="E4" s="2047" t="s">
        <v>1963</v>
      </c>
      <c r="F4" s="2047" t="s">
        <v>1640</v>
      </c>
      <c r="G4" s="2047" t="s">
        <v>1963</v>
      </c>
      <c r="H4" s="2047" t="s">
        <v>1987</v>
      </c>
      <c r="I4" s="2047" t="s">
        <v>835</v>
      </c>
      <c r="J4" s="2047" t="s">
        <v>1986</v>
      </c>
      <c r="K4" s="2047" t="s">
        <v>835</v>
      </c>
      <c r="L4" s="2047" t="s">
        <v>1640</v>
      </c>
      <c r="M4" s="2047" t="s">
        <v>1642</v>
      </c>
      <c r="N4" s="2211"/>
      <c r="O4" s="2211"/>
      <c r="P4" s="2047" t="s">
        <v>1640</v>
      </c>
      <c r="Q4" s="2047" t="s">
        <v>835</v>
      </c>
      <c r="R4" s="2047" t="s">
        <v>1640</v>
      </c>
      <c r="S4" s="2047" t="s">
        <v>835</v>
      </c>
      <c r="T4" s="2047" t="s">
        <v>1640</v>
      </c>
      <c r="U4" s="2047" t="s">
        <v>835</v>
      </c>
      <c r="V4" s="2047" t="s">
        <v>1640</v>
      </c>
      <c r="W4" s="2047" t="s">
        <v>835</v>
      </c>
      <c r="X4" s="2047" t="s">
        <v>1641</v>
      </c>
      <c r="Y4" s="2047" t="s">
        <v>835</v>
      </c>
      <c r="Z4" s="2047" t="s">
        <v>1640</v>
      </c>
      <c r="AA4" s="2047" t="s">
        <v>835</v>
      </c>
      <c r="AB4" s="2211"/>
    </row>
    <row r="5" spans="1:29" s="648" customFormat="1" ht="21" customHeight="1">
      <c r="A5" s="2212"/>
      <c r="B5" s="2049"/>
      <c r="C5" s="2049"/>
      <c r="D5" s="2049"/>
      <c r="E5" s="2049"/>
      <c r="F5" s="2049"/>
      <c r="G5" s="2049"/>
      <c r="H5" s="2049"/>
      <c r="I5" s="2049"/>
      <c r="J5" s="2049"/>
      <c r="K5" s="2049"/>
      <c r="L5" s="2049"/>
      <c r="M5" s="2049"/>
      <c r="N5" s="2212"/>
      <c r="O5" s="2212"/>
      <c r="P5" s="2049"/>
      <c r="Q5" s="2049"/>
      <c r="R5" s="2049"/>
      <c r="S5" s="2049"/>
      <c r="T5" s="2049"/>
      <c r="U5" s="2049"/>
      <c r="V5" s="2049"/>
      <c r="W5" s="2049"/>
      <c r="X5" s="2049"/>
      <c r="Y5" s="2049"/>
      <c r="Z5" s="2049"/>
      <c r="AA5" s="2049"/>
      <c r="AB5" s="2212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603" t="s">
        <v>560</v>
      </c>
      <c r="B7" s="748">
        <v>1791</v>
      </c>
      <c r="C7" s="748">
        <v>4111</v>
      </c>
      <c r="D7" s="748">
        <v>8509</v>
      </c>
      <c r="E7" s="748">
        <v>13824</v>
      </c>
      <c r="F7" s="748">
        <v>6538</v>
      </c>
      <c r="G7" s="748">
        <v>6582</v>
      </c>
      <c r="H7" s="748">
        <v>1245</v>
      </c>
      <c r="I7" s="748">
        <v>1580</v>
      </c>
      <c r="J7" s="748">
        <v>7446</v>
      </c>
      <c r="K7" s="748">
        <v>445</v>
      </c>
      <c r="L7" s="748">
        <v>245</v>
      </c>
      <c r="M7" s="748">
        <v>833</v>
      </c>
      <c r="N7" s="575" t="s">
        <v>560</v>
      </c>
      <c r="O7" s="1262" t="s">
        <v>560</v>
      </c>
      <c r="P7" s="748">
        <v>32</v>
      </c>
      <c r="Q7" s="748">
        <v>133</v>
      </c>
      <c r="R7" s="748">
        <v>168</v>
      </c>
      <c r="S7" s="748">
        <v>512</v>
      </c>
      <c r="T7" s="748">
        <v>38</v>
      </c>
      <c r="U7" s="748">
        <v>89</v>
      </c>
      <c r="V7" s="748">
        <v>52</v>
      </c>
      <c r="W7" s="748">
        <v>118</v>
      </c>
      <c r="X7" s="748">
        <v>964</v>
      </c>
      <c r="Y7" s="748">
        <v>1383</v>
      </c>
      <c r="Z7" s="748">
        <v>13</v>
      </c>
      <c r="AA7" s="748">
        <v>86</v>
      </c>
      <c r="AB7" s="340" t="s">
        <v>560</v>
      </c>
    </row>
    <row r="8" spans="1:29" s="8" customFormat="1" ht="17.45" customHeight="1">
      <c r="A8" s="254" t="s">
        <v>561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38" t="s">
        <v>561</v>
      </c>
      <c r="O8" s="254" t="s">
        <v>561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38" t="s">
        <v>561</v>
      </c>
    </row>
    <row r="9" spans="1:29" s="8" customFormat="1" ht="17.45" customHeight="1">
      <c r="A9" s="1262" t="s">
        <v>562</v>
      </c>
      <c r="B9" s="748">
        <v>1871</v>
      </c>
      <c r="C9" s="748">
        <v>3935</v>
      </c>
      <c r="D9" s="748">
        <v>9552</v>
      </c>
      <c r="E9" s="748">
        <v>14399</v>
      </c>
      <c r="F9" s="748">
        <v>7460</v>
      </c>
      <c r="G9" s="748">
        <v>6876</v>
      </c>
      <c r="H9" s="748">
        <v>1454</v>
      </c>
      <c r="I9" s="748">
        <v>1749</v>
      </c>
      <c r="J9" s="748">
        <v>7520</v>
      </c>
      <c r="K9" s="748">
        <v>434</v>
      </c>
      <c r="L9" s="748">
        <v>249</v>
      </c>
      <c r="M9" s="748">
        <v>831</v>
      </c>
      <c r="N9" s="340" t="s">
        <v>562</v>
      </c>
      <c r="O9" s="1262" t="s">
        <v>562</v>
      </c>
      <c r="P9" s="748">
        <v>34</v>
      </c>
      <c r="Q9" s="748">
        <v>136</v>
      </c>
      <c r="R9" s="748">
        <v>171</v>
      </c>
      <c r="S9" s="748">
        <v>510</v>
      </c>
      <c r="T9" s="748">
        <v>38</v>
      </c>
      <c r="U9" s="748">
        <v>86</v>
      </c>
      <c r="V9" s="748">
        <v>53</v>
      </c>
      <c r="W9" s="748">
        <v>119</v>
      </c>
      <c r="X9" s="748">
        <v>883</v>
      </c>
      <c r="Y9" s="748">
        <v>1253</v>
      </c>
      <c r="Z9" s="748">
        <v>14</v>
      </c>
      <c r="AA9" s="748">
        <v>91</v>
      </c>
      <c r="AB9" s="340" t="s">
        <v>562</v>
      </c>
    </row>
    <row r="10" spans="1:29" s="8" customFormat="1" ht="17.45" customHeight="1">
      <c r="A10" s="254" t="s">
        <v>563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38" t="s">
        <v>563</v>
      </c>
      <c r="O10" s="254" t="s">
        <v>563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38" t="s">
        <v>563</v>
      </c>
    </row>
    <row r="11" spans="1:29" s="8" customFormat="1" ht="17.45" customHeight="1">
      <c r="A11" s="1262" t="s">
        <v>564</v>
      </c>
      <c r="B11" s="748">
        <v>1617</v>
      </c>
      <c r="C11" s="748">
        <v>3519</v>
      </c>
      <c r="D11" s="748">
        <v>7736</v>
      </c>
      <c r="E11" s="748">
        <v>12762</v>
      </c>
      <c r="F11" s="748">
        <v>10552</v>
      </c>
      <c r="G11" s="748">
        <v>8715</v>
      </c>
      <c r="H11" s="748">
        <v>1988</v>
      </c>
      <c r="I11" s="748">
        <v>2180</v>
      </c>
      <c r="J11" s="748">
        <v>6951</v>
      </c>
      <c r="K11" s="748">
        <v>430</v>
      </c>
      <c r="L11" s="748">
        <v>253</v>
      </c>
      <c r="M11" s="748">
        <v>850</v>
      </c>
      <c r="N11" s="340" t="s">
        <v>564</v>
      </c>
      <c r="O11" s="1262" t="s">
        <v>564</v>
      </c>
      <c r="P11" s="748">
        <v>34</v>
      </c>
      <c r="Q11" s="748">
        <v>137</v>
      </c>
      <c r="R11" s="748">
        <v>165</v>
      </c>
      <c r="S11" s="748">
        <v>508</v>
      </c>
      <c r="T11" s="748">
        <v>29</v>
      </c>
      <c r="U11" s="748">
        <v>78</v>
      </c>
      <c r="V11" s="748">
        <v>56</v>
      </c>
      <c r="W11" s="748">
        <v>120</v>
      </c>
      <c r="X11" s="748">
        <v>812</v>
      </c>
      <c r="Y11" s="748">
        <v>1181</v>
      </c>
      <c r="Z11" s="748" t="s">
        <v>598</v>
      </c>
      <c r="AA11" s="748" t="s">
        <v>598</v>
      </c>
      <c r="AB11" s="340" t="s">
        <v>564</v>
      </c>
    </row>
    <row r="12" spans="1:29" s="8" customFormat="1" ht="17.45" customHeight="1">
      <c r="A12" s="254" t="s">
        <v>565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38" t="s">
        <v>565</v>
      </c>
      <c r="O12" s="254" t="s">
        <v>565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598</v>
      </c>
      <c r="AA12" s="71" t="s">
        <v>598</v>
      </c>
      <c r="AB12" s="638" t="s">
        <v>565</v>
      </c>
    </row>
    <row r="13" spans="1:29" s="8" customFormat="1" ht="17.45" customHeight="1">
      <c r="A13" s="1262" t="s">
        <v>566</v>
      </c>
      <c r="B13" s="748">
        <v>1916</v>
      </c>
      <c r="C13" s="748">
        <v>3275</v>
      </c>
      <c r="D13" s="748">
        <v>11249</v>
      </c>
      <c r="E13" s="748">
        <v>14110</v>
      </c>
      <c r="F13" s="748">
        <v>11921</v>
      </c>
      <c r="G13" s="748">
        <v>9296</v>
      </c>
      <c r="H13" s="748">
        <v>1673</v>
      </c>
      <c r="I13" s="748">
        <v>1909</v>
      </c>
      <c r="J13" s="748">
        <v>6742</v>
      </c>
      <c r="K13" s="748">
        <v>417</v>
      </c>
      <c r="L13" s="748">
        <v>238</v>
      </c>
      <c r="M13" s="748">
        <v>785</v>
      </c>
      <c r="N13" s="340" t="s">
        <v>566</v>
      </c>
      <c r="O13" s="1262" t="s">
        <v>566</v>
      </c>
      <c r="P13" s="748">
        <v>34</v>
      </c>
      <c r="Q13" s="748">
        <v>130</v>
      </c>
      <c r="R13" s="748">
        <v>126</v>
      </c>
      <c r="S13" s="748">
        <v>406</v>
      </c>
      <c r="T13" s="748">
        <v>37</v>
      </c>
      <c r="U13" s="748">
        <v>74</v>
      </c>
      <c r="V13" s="748">
        <v>52</v>
      </c>
      <c r="W13" s="748">
        <v>120</v>
      </c>
      <c r="X13" s="748">
        <v>821</v>
      </c>
      <c r="Y13" s="748">
        <v>1107</v>
      </c>
      <c r="Z13" s="748">
        <v>27</v>
      </c>
      <c r="AA13" s="748">
        <v>40</v>
      </c>
      <c r="AB13" s="340" t="s">
        <v>566</v>
      </c>
    </row>
    <row r="14" spans="1:29" s="8" customFormat="1" ht="17.45" customHeight="1">
      <c r="A14" s="254" t="s">
        <v>567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38" t="s">
        <v>567</v>
      </c>
      <c r="O14" s="254" t="s">
        <v>567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38" t="s">
        <v>567</v>
      </c>
    </row>
    <row r="15" spans="1:29" s="8" customFormat="1" ht="17.45" customHeight="1">
      <c r="A15" s="1262" t="s">
        <v>568</v>
      </c>
      <c r="B15" s="748">
        <v>1850</v>
      </c>
      <c r="C15" s="748">
        <v>3073</v>
      </c>
      <c r="D15" s="748">
        <v>11115</v>
      </c>
      <c r="E15" s="748">
        <v>14041</v>
      </c>
      <c r="F15" s="748">
        <v>12222</v>
      </c>
      <c r="G15" s="748">
        <v>9501</v>
      </c>
      <c r="H15" s="748">
        <v>1507</v>
      </c>
      <c r="I15" s="748">
        <v>1746</v>
      </c>
      <c r="J15" s="748">
        <v>6838</v>
      </c>
      <c r="K15" s="748">
        <v>410</v>
      </c>
      <c r="L15" s="748">
        <v>218</v>
      </c>
      <c r="M15" s="748">
        <v>735</v>
      </c>
      <c r="N15" s="340" t="s">
        <v>568</v>
      </c>
      <c r="O15" s="1262" t="s">
        <v>568</v>
      </c>
      <c r="P15" s="748">
        <v>30</v>
      </c>
      <c r="Q15" s="748">
        <v>109</v>
      </c>
      <c r="R15" s="748">
        <v>116</v>
      </c>
      <c r="S15" s="748">
        <v>381</v>
      </c>
      <c r="T15" s="748">
        <v>38</v>
      </c>
      <c r="U15" s="748">
        <v>75</v>
      </c>
      <c r="V15" s="748">
        <v>58</v>
      </c>
      <c r="W15" s="748">
        <v>126</v>
      </c>
      <c r="X15" s="748">
        <v>800</v>
      </c>
      <c r="Y15" s="748">
        <v>1079</v>
      </c>
      <c r="Z15" s="748">
        <v>24</v>
      </c>
      <c r="AA15" s="748">
        <v>38</v>
      </c>
      <c r="AB15" s="340" t="s">
        <v>568</v>
      </c>
    </row>
    <row r="16" spans="1:29" s="8" customFormat="1" ht="17.45" customHeight="1">
      <c r="A16" s="254" t="s">
        <v>569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38" t="s">
        <v>569</v>
      </c>
      <c r="O16" s="254" t="s">
        <v>569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38" t="s">
        <v>569</v>
      </c>
    </row>
    <row r="17" spans="1:30" s="8" customFormat="1" ht="17.45" customHeight="1">
      <c r="A17" s="1262" t="s">
        <v>570</v>
      </c>
      <c r="B17" s="748">
        <v>1500</v>
      </c>
      <c r="C17" s="748">
        <v>2532</v>
      </c>
      <c r="D17" s="748">
        <v>9820</v>
      </c>
      <c r="E17" s="748">
        <v>13047</v>
      </c>
      <c r="F17" s="748">
        <v>13837</v>
      </c>
      <c r="G17" s="748">
        <v>10042</v>
      </c>
      <c r="H17" s="748">
        <v>976</v>
      </c>
      <c r="I17" s="748">
        <v>1380</v>
      </c>
      <c r="J17" s="748">
        <v>6423</v>
      </c>
      <c r="K17" s="748">
        <v>388</v>
      </c>
      <c r="L17" s="748">
        <v>191</v>
      </c>
      <c r="M17" s="748">
        <v>597</v>
      </c>
      <c r="N17" s="340" t="s">
        <v>570</v>
      </c>
      <c r="O17" s="1262" t="s">
        <v>570</v>
      </c>
      <c r="P17" s="748">
        <v>18</v>
      </c>
      <c r="Q17" s="748">
        <v>60</v>
      </c>
      <c r="R17" s="748">
        <v>121</v>
      </c>
      <c r="S17" s="748">
        <v>380</v>
      </c>
      <c r="T17" s="748">
        <v>38</v>
      </c>
      <c r="U17" s="748">
        <v>78</v>
      </c>
      <c r="V17" s="748">
        <v>58</v>
      </c>
      <c r="W17" s="748">
        <v>132</v>
      </c>
      <c r="X17" s="748">
        <v>1035</v>
      </c>
      <c r="Y17" s="748">
        <v>965</v>
      </c>
      <c r="Z17" s="748">
        <v>3</v>
      </c>
      <c r="AA17" s="748">
        <v>4</v>
      </c>
      <c r="AB17" s="340" t="s">
        <v>570</v>
      </c>
    </row>
    <row r="18" spans="1:30" s="8" customFormat="1" ht="17.45" customHeight="1">
      <c r="A18" s="254" t="s">
        <v>575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38" t="s">
        <v>575</v>
      </c>
      <c r="O18" s="1261" t="s">
        <v>575</v>
      </c>
      <c r="P18" s="224">
        <v>17</v>
      </c>
      <c r="Q18" s="224">
        <v>55</v>
      </c>
      <c r="R18" s="224">
        <v>115</v>
      </c>
      <c r="S18" s="224">
        <v>333</v>
      </c>
      <c r="T18" s="224">
        <v>43</v>
      </c>
      <c r="U18" s="224">
        <v>78</v>
      </c>
      <c r="V18" s="224">
        <v>58</v>
      </c>
      <c r="W18" s="224">
        <v>130</v>
      </c>
      <c r="X18" s="225">
        <v>838</v>
      </c>
      <c r="Y18" s="225">
        <v>993</v>
      </c>
      <c r="Z18" s="224">
        <v>18</v>
      </c>
      <c r="AA18" s="224">
        <v>26</v>
      </c>
      <c r="AB18" s="270" t="s">
        <v>575</v>
      </c>
    </row>
    <row r="19" spans="1:30" s="8" customFormat="1" ht="17.45" customHeight="1">
      <c r="A19" s="1262" t="s">
        <v>584</v>
      </c>
      <c r="B19" s="748">
        <v>1512</v>
      </c>
      <c r="C19" s="748">
        <v>2238</v>
      </c>
      <c r="D19" s="748">
        <v>10841</v>
      </c>
      <c r="E19" s="748">
        <v>13382</v>
      </c>
      <c r="F19" s="748">
        <v>14965</v>
      </c>
      <c r="G19" s="748">
        <v>10522</v>
      </c>
      <c r="H19" s="748">
        <v>737</v>
      </c>
      <c r="I19" s="748">
        <v>988</v>
      </c>
      <c r="J19" s="748">
        <v>5770</v>
      </c>
      <c r="K19" s="748">
        <v>371</v>
      </c>
      <c r="L19" s="748">
        <v>189</v>
      </c>
      <c r="M19" s="748">
        <v>520</v>
      </c>
      <c r="N19" s="340" t="s">
        <v>584</v>
      </c>
      <c r="O19" s="1262" t="s">
        <v>584</v>
      </c>
      <c r="P19" s="748">
        <v>19</v>
      </c>
      <c r="Q19" s="748">
        <v>60</v>
      </c>
      <c r="R19" s="748">
        <v>117</v>
      </c>
      <c r="S19" s="748">
        <v>340</v>
      </c>
      <c r="T19" s="748">
        <v>39</v>
      </c>
      <c r="U19" s="748">
        <v>76</v>
      </c>
      <c r="V19" s="309">
        <v>58</v>
      </c>
      <c r="W19" s="309">
        <v>129</v>
      </c>
      <c r="X19" s="748">
        <v>879</v>
      </c>
      <c r="Y19" s="748">
        <v>1034</v>
      </c>
      <c r="Z19" s="748">
        <v>18</v>
      </c>
      <c r="AA19" s="748">
        <v>25</v>
      </c>
      <c r="AB19" s="340" t="s">
        <v>584</v>
      </c>
    </row>
    <row r="20" spans="1:30" s="9" customFormat="1" ht="17.45" customHeight="1">
      <c r="A20" s="1261" t="s">
        <v>336</v>
      </c>
      <c r="B20" s="224">
        <v>1507</v>
      </c>
      <c r="C20" s="224">
        <v>2270</v>
      </c>
      <c r="D20" s="224">
        <v>9662</v>
      </c>
      <c r="E20" s="224">
        <v>12474</v>
      </c>
      <c r="F20" s="224">
        <v>17762</v>
      </c>
      <c r="G20" s="224">
        <v>11386</v>
      </c>
      <c r="H20" s="224">
        <v>844</v>
      </c>
      <c r="I20" s="224">
        <v>958</v>
      </c>
      <c r="J20" s="224">
        <v>4984</v>
      </c>
      <c r="K20" s="224">
        <v>320</v>
      </c>
      <c r="L20" s="225">
        <v>228</v>
      </c>
      <c r="M20" s="225">
        <v>577</v>
      </c>
      <c r="N20" s="270" t="s">
        <v>336</v>
      </c>
      <c r="O20" s="1261" t="s">
        <v>336</v>
      </c>
      <c r="P20" s="224">
        <v>21</v>
      </c>
      <c r="Q20" s="224">
        <v>60</v>
      </c>
      <c r="R20" s="225">
        <v>72</v>
      </c>
      <c r="S20" s="225">
        <v>179</v>
      </c>
      <c r="T20" s="224">
        <v>40</v>
      </c>
      <c r="U20" s="224">
        <v>72</v>
      </c>
      <c r="V20" s="225">
        <v>59</v>
      </c>
      <c r="W20" s="225">
        <v>133</v>
      </c>
      <c r="X20" s="224">
        <v>832</v>
      </c>
      <c r="Y20" s="224">
        <v>1089</v>
      </c>
      <c r="Z20" s="225">
        <v>15</v>
      </c>
      <c r="AA20" s="225">
        <v>22</v>
      </c>
      <c r="AB20" s="270" t="s">
        <v>336</v>
      </c>
    </row>
    <row r="21" spans="1:30" s="9" customFormat="1" ht="17.45" customHeight="1">
      <c r="A21" s="1262" t="s">
        <v>85</v>
      </c>
      <c r="B21" s="748">
        <v>1895</v>
      </c>
      <c r="C21" s="748">
        <v>2633</v>
      </c>
      <c r="D21" s="748">
        <v>11613</v>
      </c>
      <c r="E21" s="748">
        <v>13585</v>
      </c>
      <c r="F21" s="748">
        <v>17809</v>
      </c>
      <c r="G21" s="748">
        <v>11654</v>
      </c>
      <c r="H21" s="748">
        <v>849</v>
      </c>
      <c r="I21" s="748">
        <v>975</v>
      </c>
      <c r="J21" s="748">
        <v>5232</v>
      </c>
      <c r="K21" s="748">
        <v>312</v>
      </c>
      <c r="L21" s="748">
        <v>228</v>
      </c>
      <c r="M21" s="748">
        <v>578</v>
      </c>
      <c r="N21" s="340" t="s">
        <v>85</v>
      </c>
      <c r="O21" s="1262" t="s">
        <v>85</v>
      </c>
      <c r="P21" s="748">
        <v>18</v>
      </c>
      <c r="Q21" s="748">
        <v>54</v>
      </c>
      <c r="R21" s="748">
        <v>61</v>
      </c>
      <c r="S21" s="748">
        <v>175</v>
      </c>
      <c r="T21" s="748">
        <v>40</v>
      </c>
      <c r="U21" s="748">
        <v>74</v>
      </c>
      <c r="V21" s="748">
        <v>59</v>
      </c>
      <c r="W21" s="748">
        <v>134</v>
      </c>
      <c r="X21" s="748">
        <v>842</v>
      </c>
      <c r="Y21" s="748">
        <v>1039</v>
      </c>
      <c r="Z21" s="748">
        <v>12</v>
      </c>
      <c r="AA21" s="748">
        <v>18</v>
      </c>
      <c r="AB21" s="340" t="s">
        <v>85</v>
      </c>
    </row>
    <row r="22" spans="1:30" s="9" customFormat="1" ht="17.45" customHeight="1">
      <c r="A22" s="1261" t="s">
        <v>81</v>
      </c>
      <c r="B22" s="224">
        <v>1709</v>
      </c>
      <c r="C22" s="224">
        <v>2431</v>
      </c>
      <c r="D22" s="224">
        <v>12207</v>
      </c>
      <c r="E22" s="224">
        <v>13993</v>
      </c>
      <c r="F22" s="224">
        <v>18059</v>
      </c>
      <c r="G22" s="224">
        <v>11631</v>
      </c>
      <c r="H22" s="224">
        <v>901</v>
      </c>
      <c r="I22" s="224">
        <v>930</v>
      </c>
      <c r="J22" s="224">
        <v>4491</v>
      </c>
      <c r="K22" s="224">
        <v>290</v>
      </c>
      <c r="L22" s="224">
        <v>222</v>
      </c>
      <c r="M22" s="224">
        <v>608</v>
      </c>
      <c r="N22" s="270" t="s">
        <v>81</v>
      </c>
      <c r="O22" s="1261" t="s">
        <v>81</v>
      </c>
      <c r="P22" s="224">
        <v>20</v>
      </c>
      <c r="Q22" s="224">
        <v>57</v>
      </c>
      <c r="R22" s="224">
        <v>71</v>
      </c>
      <c r="S22" s="224">
        <v>191</v>
      </c>
      <c r="T22" s="224">
        <v>55</v>
      </c>
      <c r="U22" s="224">
        <v>95</v>
      </c>
      <c r="V22" s="224">
        <v>68</v>
      </c>
      <c r="W22" s="224">
        <v>136</v>
      </c>
      <c r="X22" s="224">
        <v>916</v>
      </c>
      <c r="Y22" s="224">
        <v>1029</v>
      </c>
      <c r="Z22" s="224">
        <v>20</v>
      </c>
      <c r="AA22" s="224">
        <v>24</v>
      </c>
      <c r="AB22" s="270" t="s">
        <v>81</v>
      </c>
    </row>
    <row r="23" spans="1:30" s="8" customFormat="1" ht="17.45" customHeight="1">
      <c r="A23" s="1262" t="s">
        <v>192</v>
      </c>
      <c r="B23" s="748">
        <v>2133</v>
      </c>
      <c r="C23" s="748">
        <v>2750</v>
      </c>
      <c r="D23" s="309">
        <v>12792</v>
      </c>
      <c r="E23" s="309">
        <v>13951</v>
      </c>
      <c r="F23" s="309">
        <v>18617</v>
      </c>
      <c r="G23" s="309">
        <v>11788</v>
      </c>
      <c r="H23" s="309">
        <v>972</v>
      </c>
      <c r="I23" s="309">
        <v>923</v>
      </c>
      <c r="J23" s="309">
        <v>4671</v>
      </c>
      <c r="K23" s="309">
        <v>287</v>
      </c>
      <c r="L23" s="309">
        <v>246</v>
      </c>
      <c r="M23" s="309">
        <v>623</v>
      </c>
      <c r="N23" s="370" t="s">
        <v>192</v>
      </c>
      <c r="O23" s="341" t="s">
        <v>192</v>
      </c>
      <c r="P23" s="309">
        <v>19</v>
      </c>
      <c r="Q23" s="309">
        <v>68</v>
      </c>
      <c r="R23" s="309">
        <v>80</v>
      </c>
      <c r="S23" s="309">
        <v>205</v>
      </c>
      <c r="T23" s="309">
        <v>79</v>
      </c>
      <c r="U23" s="309">
        <v>121</v>
      </c>
      <c r="V23" s="309">
        <v>61</v>
      </c>
      <c r="W23" s="309">
        <v>140</v>
      </c>
      <c r="X23" s="309">
        <v>1511</v>
      </c>
      <c r="Y23" s="309">
        <v>1751</v>
      </c>
      <c r="Z23" s="309">
        <v>14</v>
      </c>
      <c r="AA23" s="309">
        <v>24</v>
      </c>
      <c r="AB23" s="370" t="s">
        <v>192</v>
      </c>
    </row>
    <row r="24" spans="1:30" s="8" customFormat="1" ht="17.45" customHeight="1">
      <c r="A24" s="1261" t="s">
        <v>757</v>
      </c>
      <c r="B24" s="224">
        <v>2332</v>
      </c>
      <c r="C24" s="224">
        <v>2812</v>
      </c>
      <c r="D24" s="267">
        <v>12798</v>
      </c>
      <c r="E24" s="267">
        <v>13789</v>
      </c>
      <c r="F24" s="267">
        <v>18759</v>
      </c>
      <c r="G24" s="267">
        <v>11886</v>
      </c>
      <c r="H24" s="267">
        <v>995</v>
      </c>
      <c r="I24" s="267">
        <v>885</v>
      </c>
      <c r="J24" s="267">
        <v>4603</v>
      </c>
      <c r="K24" s="267">
        <v>279</v>
      </c>
      <c r="L24" s="267">
        <v>262</v>
      </c>
      <c r="M24" s="267">
        <v>682</v>
      </c>
      <c r="N24" s="394" t="s">
        <v>757</v>
      </c>
      <c r="O24" s="265" t="s">
        <v>757</v>
      </c>
      <c r="P24" s="267">
        <v>26</v>
      </c>
      <c r="Q24" s="267">
        <v>91</v>
      </c>
      <c r="R24" s="267">
        <v>80</v>
      </c>
      <c r="S24" s="267">
        <v>213</v>
      </c>
      <c r="T24" s="267">
        <v>85</v>
      </c>
      <c r="U24" s="267">
        <v>126</v>
      </c>
      <c r="V24" s="267">
        <v>61</v>
      </c>
      <c r="W24" s="267">
        <v>143</v>
      </c>
      <c r="X24" s="267">
        <v>1441</v>
      </c>
      <c r="Y24" s="267">
        <v>1878</v>
      </c>
      <c r="Z24" s="267">
        <v>16</v>
      </c>
      <c r="AA24" s="267">
        <v>25</v>
      </c>
      <c r="AB24" s="394" t="s">
        <v>757</v>
      </c>
    </row>
    <row r="25" spans="1:30" s="8" customFormat="1" ht="17.45" customHeight="1">
      <c r="A25" s="1262" t="s">
        <v>866</v>
      </c>
      <c r="B25" s="748">
        <v>2158</v>
      </c>
      <c r="C25" s="748">
        <v>2602</v>
      </c>
      <c r="D25" s="309">
        <v>12897</v>
      </c>
      <c r="E25" s="309">
        <v>13863</v>
      </c>
      <c r="F25" s="309">
        <v>18778</v>
      </c>
      <c r="G25" s="309">
        <v>11763</v>
      </c>
      <c r="H25" s="309">
        <v>1255</v>
      </c>
      <c r="I25" s="309">
        <v>1029</v>
      </c>
      <c r="J25" s="309">
        <v>4469</v>
      </c>
      <c r="K25" s="309">
        <v>270</v>
      </c>
      <c r="L25" s="309">
        <v>294</v>
      </c>
      <c r="M25" s="309">
        <v>728</v>
      </c>
      <c r="N25" s="370" t="s">
        <v>866</v>
      </c>
      <c r="O25" s="341" t="s">
        <v>866</v>
      </c>
      <c r="P25" s="309">
        <v>25</v>
      </c>
      <c r="Q25" s="309">
        <v>87</v>
      </c>
      <c r="R25" s="309">
        <v>93</v>
      </c>
      <c r="S25" s="309">
        <v>222</v>
      </c>
      <c r="T25" s="309">
        <v>79</v>
      </c>
      <c r="U25" s="309">
        <v>119</v>
      </c>
      <c r="V25" s="309">
        <v>63</v>
      </c>
      <c r="W25" s="309">
        <v>144</v>
      </c>
      <c r="X25" s="309">
        <v>1370</v>
      </c>
      <c r="Y25" s="309">
        <v>1683</v>
      </c>
      <c r="Z25" s="309">
        <v>20</v>
      </c>
      <c r="AA25" s="309">
        <v>31</v>
      </c>
      <c r="AB25" s="370" t="s">
        <v>866</v>
      </c>
    </row>
    <row r="26" spans="1:30" s="8" customFormat="1" ht="17.45" customHeight="1">
      <c r="A26" s="1261" t="s">
        <v>1051</v>
      </c>
      <c r="B26" s="224">
        <v>2326</v>
      </c>
      <c r="C26" s="224">
        <v>2598</v>
      </c>
      <c r="D26" s="267">
        <v>13023</v>
      </c>
      <c r="E26" s="267">
        <v>13666</v>
      </c>
      <c r="F26" s="267">
        <v>19007</v>
      </c>
      <c r="G26" s="267">
        <v>11837</v>
      </c>
      <c r="H26" s="267">
        <v>1303</v>
      </c>
      <c r="I26" s="267">
        <v>1062</v>
      </c>
      <c r="J26" s="267">
        <v>4508</v>
      </c>
      <c r="K26" s="267">
        <v>265</v>
      </c>
      <c r="L26" s="267">
        <v>296</v>
      </c>
      <c r="M26" s="267">
        <v>724</v>
      </c>
      <c r="N26" s="394" t="s">
        <v>1051</v>
      </c>
      <c r="O26" s="265" t="s">
        <v>1051</v>
      </c>
      <c r="P26" s="267">
        <v>32</v>
      </c>
      <c r="Q26" s="267">
        <v>97</v>
      </c>
      <c r="R26" s="267">
        <v>157</v>
      </c>
      <c r="S26" s="267">
        <v>308</v>
      </c>
      <c r="T26" s="267">
        <v>85</v>
      </c>
      <c r="U26" s="267">
        <v>124</v>
      </c>
      <c r="V26" s="267">
        <v>67</v>
      </c>
      <c r="W26" s="267">
        <v>148</v>
      </c>
      <c r="X26" s="267">
        <v>1338</v>
      </c>
      <c r="Y26" s="267">
        <v>1645</v>
      </c>
      <c r="Z26" s="267">
        <v>19</v>
      </c>
      <c r="AA26" s="267">
        <v>28</v>
      </c>
      <c r="AB26" s="394" t="s">
        <v>1051</v>
      </c>
    </row>
    <row r="27" spans="1:30" s="8" customFormat="1" ht="17.45" customHeight="1">
      <c r="A27" s="1262" t="s">
        <v>1105</v>
      </c>
      <c r="B27" s="748">
        <v>2328</v>
      </c>
      <c r="C27" s="748">
        <v>2583</v>
      </c>
      <c r="D27" s="309">
        <v>13190</v>
      </c>
      <c r="E27" s="309">
        <v>13665</v>
      </c>
      <c r="F27" s="309">
        <v>19192</v>
      </c>
      <c r="G27" s="309">
        <v>11961</v>
      </c>
      <c r="H27" s="309">
        <v>1348</v>
      </c>
      <c r="I27" s="309">
        <v>1079</v>
      </c>
      <c r="J27" s="309">
        <v>4434</v>
      </c>
      <c r="K27" s="309">
        <v>257</v>
      </c>
      <c r="L27" s="309">
        <v>359</v>
      </c>
      <c r="M27" s="309">
        <v>803</v>
      </c>
      <c r="N27" s="340" t="s">
        <v>1105</v>
      </c>
      <c r="O27" s="1262" t="s">
        <v>1105</v>
      </c>
      <c r="P27" s="309">
        <v>33</v>
      </c>
      <c r="Q27" s="309">
        <v>96</v>
      </c>
      <c r="R27" s="309">
        <v>167</v>
      </c>
      <c r="S27" s="309">
        <v>359</v>
      </c>
      <c r="T27" s="309">
        <v>94</v>
      </c>
      <c r="U27" s="309">
        <v>127</v>
      </c>
      <c r="V27" s="309">
        <v>66</v>
      </c>
      <c r="W27" s="309">
        <v>149</v>
      </c>
      <c r="X27" s="309">
        <v>1350</v>
      </c>
      <c r="Y27" s="309">
        <v>1662</v>
      </c>
      <c r="Z27" s="309">
        <v>30</v>
      </c>
      <c r="AA27" s="309">
        <v>33</v>
      </c>
      <c r="AB27" s="340" t="s">
        <v>1105</v>
      </c>
    </row>
    <row r="28" spans="1:30" s="8" customFormat="1" ht="17.45" customHeight="1">
      <c r="A28" s="1261" t="s">
        <v>1231</v>
      </c>
      <c r="B28" s="224">
        <v>2289</v>
      </c>
      <c r="C28" s="224">
        <v>2516</v>
      </c>
      <c r="D28" s="267">
        <v>13483</v>
      </c>
      <c r="E28" s="267">
        <v>13814</v>
      </c>
      <c r="F28" s="267">
        <v>18938</v>
      </c>
      <c r="G28" s="267">
        <v>11794</v>
      </c>
      <c r="H28" s="267">
        <v>1348</v>
      </c>
      <c r="I28" s="267">
        <v>1099</v>
      </c>
      <c r="J28" s="224">
        <v>4207</v>
      </c>
      <c r="K28" s="224">
        <v>243</v>
      </c>
      <c r="L28" s="224">
        <v>362</v>
      </c>
      <c r="M28" s="224">
        <v>787</v>
      </c>
      <c r="N28" s="270" t="s">
        <v>1231</v>
      </c>
      <c r="O28" s="1261" t="s">
        <v>1231</v>
      </c>
      <c r="P28" s="224">
        <v>37</v>
      </c>
      <c r="Q28" s="224">
        <v>101</v>
      </c>
      <c r="R28" s="224">
        <v>158</v>
      </c>
      <c r="S28" s="224">
        <v>382</v>
      </c>
      <c r="T28" s="224">
        <v>88</v>
      </c>
      <c r="U28" s="224">
        <v>115</v>
      </c>
      <c r="V28" s="224">
        <v>64</v>
      </c>
      <c r="W28" s="224">
        <v>148</v>
      </c>
      <c r="X28" s="267">
        <v>1361</v>
      </c>
      <c r="Y28" s="267">
        <v>1675</v>
      </c>
      <c r="Z28" s="224">
        <v>33</v>
      </c>
      <c r="AA28" s="224">
        <v>34</v>
      </c>
      <c r="AB28" s="270" t="s">
        <v>1231</v>
      </c>
    </row>
    <row r="29" spans="1:30" s="8" customFormat="1" ht="17.45" customHeight="1">
      <c r="A29" s="1262" t="s">
        <v>1263</v>
      </c>
      <c r="B29" s="748">
        <v>2134</v>
      </c>
      <c r="C29" s="748">
        <v>2327</v>
      </c>
      <c r="D29" s="309">
        <v>13656</v>
      </c>
      <c r="E29" s="309">
        <v>13797</v>
      </c>
      <c r="F29" s="309">
        <v>18014</v>
      </c>
      <c r="G29" s="309">
        <v>11060</v>
      </c>
      <c r="H29" s="309">
        <v>1311</v>
      </c>
      <c r="I29" s="309">
        <v>1026</v>
      </c>
      <c r="J29" s="748">
        <v>3862</v>
      </c>
      <c r="K29" s="748">
        <v>227</v>
      </c>
      <c r="L29" s="748">
        <v>363</v>
      </c>
      <c r="M29" s="748">
        <v>831</v>
      </c>
      <c r="N29" s="340" t="s">
        <v>1263</v>
      </c>
      <c r="O29" s="1262" t="s">
        <v>1263</v>
      </c>
      <c r="P29" s="748">
        <v>35</v>
      </c>
      <c r="Q29" s="748">
        <v>102</v>
      </c>
      <c r="R29" s="748">
        <v>169</v>
      </c>
      <c r="S29" s="748">
        <v>382</v>
      </c>
      <c r="T29" s="748">
        <v>91</v>
      </c>
      <c r="U29" s="748">
        <v>113</v>
      </c>
      <c r="V29" s="748">
        <v>82</v>
      </c>
      <c r="W29" s="748">
        <v>133</v>
      </c>
      <c r="X29" s="309">
        <v>1484</v>
      </c>
      <c r="Y29" s="309">
        <v>1823</v>
      </c>
      <c r="Z29" s="748">
        <v>31</v>
      </c>
      <c r="AA29" s="748">
        <v>32</v>
      </c>
      <c r="AB29" s="340" t="s">
        <v>1263</v>
      </c>
    </row>
    <row r="30" spans="1:30" s="170" customFormat="1" ht="17.45" customHeight="1">
      <c r="A30" s="1261" t="s">
        <v>1392</v>
      </c>
      <c r="B30" s="224">
        <v>2710</v>
      </c>
      <c r="C30" s="224">
        <v>2657</v>
      </c>
      <c r="D30" s="267">
        <v>13993</v>
      </c>
      <c r="E30" s="267">
        <v>14035</v>
      </c>
      <c r="F30" s="267">
        <v>19576</v>
      </c>
      <c r="G30" s="267">
        <v>12008</v>
      </c>
      <c r="H30" s="267">
        <v>1099</v>
      </c>
      <c r="I30" s="267">
        <v>868</v>
      </c>
      <c r="J30" s="224">
        <v>3639</v>
      </c>
      <c r="K30" s="224">
        <v>223</v>
      </c>
      <c r="L30" s="224">
        <v>352</v>
      </c>
      <c r="M30" s="224">
        <v>760</v>
      </c>
      <c r="N30" s="270" t="s">
        <v>1392</v>
      </c>
      <c r="O30" s="1261" t="s">
        <v>1392</v>
      </c>
      <c r="P30" s="224">
        <v>34</v>
      </c>
      <c r="Q30" s="224">
        <v>93</v>
      </c>
      <c r="R30" s="224">
        <v>177</v>
      </c>
      <c r="S30" s="224">
        <v>386</v>
      </c>
      <c r="T30" s="224">
        <v>89</v>
      </c>
      <c r="U30" s="224">
        <v>105</v>
      </c>
      <c r="V30" s="224">
        <v>78</v>
      </c>
      <c r="W30" s="224">
        <v>133</v>
      </c>
      <c r="X30" s="267">
        <v>1601</v>
      </c>
      <c r="Y30" s="267">
        <v>1874</v>
      </c>
      <c r="Z30" s="224">
        <v>31</v>
      </c>
      <c r="AA30" s="224">
        <v>32</v>
      </c>
      <c r="AB30" s="270" t="s">
        <v>1392</v>
      </c>
    </row>
    <row r="31" spans="1:30" s="170" customFormat="1" ht="17.45" customHeight="1">
      <c r="A31" s="1262" t="s">
        <v>1511</v>
      </c>
      <c r="B31" s="748">
        <v>2775</v>
      </c>
      <c r="C31" s="748">
        <v>2731</v>
      </c>
      <c r="D31" s="309">
        <v>14055</v>
      </c>
      <c r="E31" s="309">
        <v>13892</v>
      </c>
      <c r="F31" s="309">
        <v>19561</v>
      </c>
      <c r="G31" s="309">
        <v>11832</v>
      </c>
      <c r="H31" s="309">
        <v>1017</v>
      </c>
      <c r="I31" s="309">
        <v>816</v>
      </c>
      <c r="J31" s="748">
        <v>3142</v>
      </c>
      <c r="K31" s="748">
        <v>200</v>
      </c>
      <c r="L31" s="748">
        <v>312</v>
      </c>
      <c r="M31" s="748">
        <v>667</v>
      </c>
      <c r="N31" s="340" t="s">
        <v>1511</v>
      </c>
      <c r="O31" s="1262" t="s">
        <v>1511</v>
      </c>
      <c r="P31" s="748">
        <v>34</v>
      </c>
      <c r="Q31" s="748">
        <v>102</v>
      </c>
      <c r="R31" s="748">
        <v>175</v>
      </c>
      <c r="S31" s="748">
        <v>352</v>
      </c>
      <c r="T31" s="748">
        <v>129</v>
      </c>
      <c r="U31" s="748">
        <v>147</v>
      </c>
      <c r="V31" s="748">
        <v>91</v>
      </c>
      <c r="W31" s="748">
        <v>133</v>
      </c>
      <c r="X31" s="309">
        <v>1544</v>
      </c>
      <c r="Y31" s="309">
        <v>1852</v>
      </c>
      <c r="Z31" s="748">
        <v>100</v>
      </c>
      <c r="AA31" s="748">
        <v>31</v>
      </c>
      <c r="AB31" s="340" t="s">
        <v>1511</v>
      </c>
    </row>
    <row r="32" spans="1:30" s="170" customFormat="1" ht="17.45" customHeight="1">
      <c r="A32" s="1261" t="s">
        <v>1602</v>
      </c>
      <c r="B32" s="224">
        <v>2755</v>
      </c>
      <c r="C32" s="224">
        <v>2706</v>
      </c>
      <c r="D32" s="267">
        <v>14203</v>
      </c>
      <c r="E32" s="267">
        <v>13739</v>
      </c>
      <c r="F32" s="267">
        <v>19646</v>
      </c>
      <c r="G32" s="267">
        <v>11767</v>
      </c>
      <c r="H32" s="267">
        <v>1029</v>
      </c>
      <c r="I32" s="267">
        <v>821</v>
      </c>
      <c r="J32" s="224">
        <v>3683</v>
      </c>
      <c r="K32" s="224">
        <v>213</v>
      </c>
      <c r="L32" s="224">
        <v>358</v>
      </c>
      <c r="M32" s="224">
        <v>763</v>
      </c>
      <c r="N32" s="270" t="s">
        <v>1602</v>
      </c>
      <c r="O32" s="1261" t="s">
        <v>1602</v>
      </c>
      <c r="P32" s="224">
        <v>37</v>
      </c>
      <c r="Q32" s="224">
        <v>109</v>
      </c>
      <c r="R32" s="224">
        <v>177</v>
      </c>
      <c r="S32" s="224">
        <v>349</v>
      </c>
      <c r="T32" s="224">
        <v>86</v>
      </c>
      <c r="U32" s="224">
        <v>100</v>
      </c>
      <c r="V32" s="224">
        <v>90</v>
      </c>
      <c r="W32" s="224">
        <v>147</v>
      </c>
      <c r="X32" s="267">
        <v>1448</v>
      </c>
      <c r="Y32" s="267">
        <v>1679</v>
      </c>
      <c r="Z32" s="224">
        <v>98</v>
      </c>
      <c r="AA32" s="224">
        <v>30</v>
      </c>
      <c r="AB32" s="270" t="s">
        <v>1602</v>
      </c>
      <c r="AD32" s="861"/>
    </row>
    <row r="33" spans="1:30" s="170" customFormat="1" ht="17.45" customHeight="1">
      <c r="A33" s="1268" t="s">
        <v>1668</v>
      </c>
      <c r="B33" s="748">
        <v>3285</v>
      </c>
      <c r="C33" s="748">
        <v>3225</v>
      </c>
      <c r="D33" s="309">
        <v>14438</v>
      </c>
      <c r="E33" s="309">
        <v>13854</v>
      </c>
      <c r="F33" s="309">
        <v>19885</v>
      </c>
      <c r="G33" s="309">
        <v>11828</v>
      </c>
      <c r="H33" s="309">
        <v>1085</v>
      </c>
      <c r="I33" s="309">
        <v>813</v>
      </c>
      <c r="J33" s="748">
        <v>3333</v>
      </c>
      <c r="K33" s="748">
        <v>192</v>
      </c>
      <c r="L33" s="748">
        <v>397</v>
      </c>
      <c r="M33" s="748">
        <v>814</v>
      </c>
      <c r="N33" s="340" t="s">
        <v>1668</v>
      </c>
      <c r="O33" s="1268" t="s">
        <v>1668</v>
      </c>
      <c r="P33" s="748">
        <v>41</v>
      </c>
      <c r="Q33" s="748">
        <v>109</v>
      </c>
      <c r="R33" s="748">
        <v>186</v>
      </c>
      <c r="S33" s="748">
        <v>361</v>
      </c>
      <c r="T33" s="748">
        <v>89</v>
      </c>
      <c r="U33" s="748">
        <v>100</v>
      </c>
      <c r="V33" s="748">
        <v>90</v>
      </c>
      <c r="W33" s="748">
        <v>136</v>
      </c>
      <c r="X33" s="309">
        <v>1391</v>
      </c>
      <c r="Y33" s="309">
        <v>1686</v>
      </c>
      <c r="Z33" s="748">
        <v>72</v>
      </c>
      <c r="AA33" s="748">
        <v>31</v>
      </c>
      <c r="AB33" s="340" t="s">
        <v>1668</v>
      </c>
      <c r="AC33" s="861"/>
    </row>
    <row r="34" spans="1:30" s="170" customFormat="1" ht="17.45" customHeight="1">
      <c r="A34" s="1730" t="s">
        <v>2018</v>
      </c>
      <c r="B34" s="224">
        <v>3001</v>
      </c>
      <c r="C34" s="224">
        <v>2864</v>
      </c>
      <c r="D34" s="267">
        <v>14958</v>
      </c>
      <c r="E34" s="267">
        <v>14132</v>
      </c>
      <c r="F34" s="267">
        <v>20186</v>
      </c>
      <c r="G34" s="267">
        <v>11896</v>
      </c>
      <c r="H34" s="267">
        <v>1086</v>
      </c>
      <c r="I34" s="267">
        <v>778</v>
      </c>
      <c r="J34" s="224">
        <v>3087</v>
      </c>
      <c r="K34" s="224">
        <v>179</v>
      </c>
      <c r="L34" s="224">
        <v>410</v>
      </c>
      <c r="M34" s="224">
        <v>817</v>
      </c>
      <c r="N34" s="270" t="s">
        <v>2018</v>
      </c>
      <c r="O34" s="1730" t="s">
        <v>2018</v>
      </c>
      <c r="P34" s="224">
        <v>42</v>
      </c>
      <c r="Q34" s="224">
        <v>114</v>
      </c>
      <c r="R34" s="224">
        <v>191</v>
      </c>
      <c r="S34" s="224">
        <v>357</v>
      </c>
      <c r="T34" s="224">
        <v>92</v>
      </c>
      <c r="U34" s="224">
        <v>100</v>
      </c>
      <c r="V34" s="224">
        <v>98</v>
      </c>
      <c r="W34" s="224">
        <v>140</v>
      </c>
      <c r="X34" s="267">
        <v>1518</v>
      </c>
      <c r="Y34" s="267">
        <v>1783</v>
      </c>
      <c r="Z34" s="224">
        <v>71</v>
      </c>
      <c r="AA34" s="224">
        <v>30</v>
      </c>
      <c r="AB34" s="270" t="s">
        <v>2018</v>
      </c>
      <c r="AC34" s="861"/>
    </row>
    <row r="35" spans="1:30" s="170" customFormat="1" ht="17.45" customHeight="1" thickBot="1">
      <c r="A35" s="1055" t="s">
        <v>2571</v>
      </c>
      <c r="B35" s="646">
        <v>2901</v>
      </c>
      <c r="C35" s="646">
        <v>2622</v>
      </c>
      <c r="D35" s="833">
        <v>15426</v>
      </c>
      <c r="E35" s="833">
        <v>14143</v>
      </c>
      <c r="F35" s="833">
        <v>20768</v>
      </c>
      <c r="G35" s="833">
        <v>11989</v>
      </c>
      <c r="H35" s="833">
        <v>1170</v>
      </c>
      <c r="I35" s="833">
        <v>783</v>
      </c>
      <c r="J35" s="646">
        <v>2983</v>
      </c>
      <c r="K35" s="646">
        <v>172</v>
      </c>
      <c r="L35" s="646">
        <v>547</v>
      </c>
      <c r="M35" s="646">
        <v>947</v>
      </c>
      <c r="N35" s="1715" t="s">
        <v>2571</v>
      </c>
      <c r="O35" s="1055" t="s">
        <v>2571</v>
      </c>
      <c r="P35" s="646">
        <v>46</v>
      </c>
      <c r="Q35" s="646">
        <v>113</v>
      </c>
      <c r="R35" s="646">
        <v>197</v>
      </c>
      <c r="S35" s="646">
        <v>334</v>
      </c>
      <c r="T35" s="646">
        <v>87</v>
      </c>
      <c r="U35" s="646">
        <v>93</v>
      </c>
      <c r="V35" s="646">
        <v>93</v>
      </c>
      <c r="W35" s="646">
        <v>141</v>
      </c>
      <c r="X35" s="833">
        <v>1522</v>
      </c>
      <c r="Y35" s="833">
        <v>1804</v>
      </c>
      <c r="Z35" s="646">
        <v>66</v>
      </c>
      <c r="AA35" s="646">
        <v>29</v>
      </c>
      <c r="AB35" s="1715" t="s">
        <v>2571</v>
      </c>
      <c r="AC35" s="861"/>
    </row>
    <row r="36" spans="1:30" ht="12.75" customHeight="1">
      <c r="A36" s="2205" t="s">
        <v>1302</v>
      </c>
      <c r="B36" s="2205"/>
      <c r="C36" s="2205"/>
      <c r="D36" s="2205"/>
      <c r="E36" s="2205"/>
      <c r="F36" s="2206"/>
      <c r="G36" s="2206"/>
      <c r="H36" s="2206" t="s">
        <v>1970</v>
      </c>
      <c r="I36" s="2206"/>
      <c r="J36" s="2206"/>
      <c r="K36" s="2206"/>
      <c r="L36" s="2206"/>
      <c r="M36" s="2206"/>
      <c r="O36" s="2204" t="s">
        <v>1303</v>
      </c>
      <c r="P36" s="2204"/>
      <c r="Q36" s="2204"/>
      <c r="R36" s="2204"/>
      <c r="S36" s="2204"/>
      <c r="T36" s="2204"/>
      <c r="U36" s="2204"/>
      <c r="V36" s="2204" t="s">
        <v>1970</v>
      </c>
      <c r="W36" s="2204"/>
      <c r="X36" s="2204"/>
      <c r="Y36" s="2204"/>
      <c r="Z36" s="2204"/>
      <c r="AA36" s="2204"/>
      <c r="AD36" s="988"/>
    </row>
    <row r="37" spans="1:30">
      <c r="A37" s="253"/>
      <c r="B37" s="7" t="s">
        <v>1674</v>
      </c>
      <c r="C37" s="7"/>
      <c r="E37" s="1272"/>
      <c r="F37" s="988"/>
      <c r="H37" s="988"/>
      <c r="K37" s="988"/>
      <c r="M37" s="988"/>
      <c r="R37" s="988"/>
      <c r="S37" s="988"/>
      <c r="T37" s="988"/>
      <c r="U37" s="1157"/>
      <c r="W37" s="988"/>
    </row>
    <row r="38" spans="1:30" ht="12.75" hidden="1" customHeight="1"/>
    <row r="39" spans="1:30" ht="12.75" hidden="1" customHeight="1">
      <c r="X39" s="2">
        <v>7501011</v>
      </c>
    </row>
    <row r="40" spans="1:30" ht="12.75" hidden="1" customHeight="1">
      <c r="X40" s="2">
        <v>7558934</v>
      </c>
    </row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>
      <c r="B46" s="55"/>
      <c r="F46" s="988"/>
      <c r="G46" s="988"/>
      <c r="J46" s="988"/>
      <c r="K46" s="988"/>
      <c r="L46" s="988"/>
      <c r="M46" s="988"/>
      <c r="P46" s="988"/>
      <c r="Q46" s="988"/>
      <c r="R46" s="988"/>
      <c r="S46" s="988"/>
      <c r="T46" s="988"/>
      <c r="U46" s="988"/>
      <c r="V46" s="988"/>
      <c r="W46" s="988"/>
      <c r="AA46" s="988"/>
      <c r="AB46" s="988"/>
    </row>
    <row r="47" spans="1:30">
      <c r="F47" s="988"/>
      <c r="H47" s="988"/>
      <c r="I47" s="988"/>
      <c r="J47" s="988"/>
      <c r="K47" s="988"/>
      <c r="L47" s="988"/>
      <c r="P47" s="988"/>
      <c r="Q47" s="988"/>
      <c r="T47" s="988"/>
      <c r="W47" s="988"/>
      <c r="Y47" s="988"/>
    </row>
    <row r="48" spans="1:30">
      <c r="C48" s="988"/>
      <c r="E48" s="988"/>
    </row>
    <row r="50" spans="28:28">
      <c r="AB50" s="988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6:AA36"/>
    <mergeCell ref="A36:E36"/>
    <mergeCell ref="F36:G36"/>
    <mergeCell ref="H36:J36"/>
    <mergeCell ref="K36:M36"/>
    <mergeCell ref="O36:U36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0"/>
  <sheetViews>
    <sheetView topLeftCell="A37" zoomScale="145" zoomScaleNormal="145" workbookViewId="0">
      <selection activeCell="H58" sqref="H58"/>
    </sheetView>
  </sheetViews>
  <sheetFormatPr defaultColWidth="5.85546875" defaultRowHeight="9"/>
  <cols>
    <col min="1" max="1" width="7" style="230" customWidth="1"/>
    <col min="2" max="2" width="8.5703125" style="230" customWidth="1"/>
    <col min="3" max="3" width="6.140625" style="230" customWidth="1"/>
    <col min="4" max="5" width="6.85546875" style="230" customWidth="1"/>
    <col min="6" max="6" width="7.42578125" style="230" customWidth="1"/>
    <col min="7" max="7" width="6.140625" style="230" customWidth="1"/>
    <col min="8" max="8" width="6.5703125" style="230" customWidth="1"/>
    <col min="9" max="9" width="6.85546875" style="230" customWidth="1"/>
    <col min="10" max="10" width="7.5703125" style="230" customWidth="1"/>
    <col min="11" max="11" width="7.42578125" style="230" customWidth="1"/>
    <col min="12" max="16384" width="5.85546875" style="230"/>
  </cols>
  <sheetData>
    <row r="1" spans="1:11" s="172" customFormat="1" ht="14.25" customHeight="1">
      <c r="A1" s="2216" t="s">
        <v>2469</v>
      </c>
      <c r="B1" s="2216"/>
      <c r="C1" s="2216"/>
      <c r="D1" s="2216"/>
      <c r="E1" s="2216"/>
      <c r="F1" s="2216"/>
      <c r="G1" s="2216"/>
      <c r="H1" s="2216"/>
      <c r="I1" s="2216"/>
      <c r="J1" s="2217" t="s">
        <v>2460</v>
      </c>
      <c r="K1" s="2217"/>
    </row>
    <row r="2" spans="1:11" s="175" customFormat="1" ht="12.75" customHeight="1">
      <c r="A2" s="1537"/>
      <c r="B2" s="1537"/>
      <c r="C2" s="2223" t="s">
        <v>2468</v>
      </c>
      <c r="D2" s="2223"/>
      <c r="E2" s="2223"/>
      <c r="F2" s="1807"/>
      <c r="G2" s="2218"/>
      <c r="H2" s="2218"/>
      <c r="I2" s="2218"/>
    </row>
    <row r="3" spans="1:11" s="177" customFormat="1" ht="26.25" customHeight="1">
      <c r="A3" s="2222" t="s">
        <v>498</v>
      </c>
      <c r="B3" s="1804" t="s">
        <v>591</v>
      </c>
      <c r="C3" s="1804" t="s">
        <v>592</v>
      </c>
      <c r="D3" s="1805" t="s">
        <v>513</v>
      </c>
      <c r="E3" s="1805" t="s">
        <v>514</v>
      </c>
      <c r="F3" s="1804" t="s">
        <v>249</v>
      </c>
      <c r="G3" s="1806" t="s">
        <v>248</v>
      </c>
      <c r="H3" s="1805" t="s">
        <v>603</v>
      </c>
      <c r="I3" s="1805" t="s">
        <v>593</v>
      </c>
      <c r="J3" s="1804" t="s">
        <v>2397</v>
      </c>
      <c r="K3" s="1805" t="s">
        <v>516</v>
      </c>
    </row>
    <row r="4" spans="1:11" s="177" customFormat="1" ht="25.5" customHeight="1">
      <c r="A4" s="2222"/>
      <c r="B4" s="1804" t="s">
        <v>967</v>
      </c>
      <c r="C4" s="1804" t="s">
        <v>966</v>
      </c>
      <c r="D4" s="1804" t="s">
        <v>968</v>
      </c>
      <c r="E4" s="1804" t="s">
        <v>969</v>
      </c>
      <c r="F4" s="1804" t="s">
        <v>970</v>
      </c>
      <c r="G4" s="1806" t="s">
        <v>972</v>
      </c>
      <c r="H4" s="1804" t="s">
        <v>970</v>
      </c>
      <c r="I4" s="1804" t="s">
        <v>970</v>
      </c>
      <c r="J4" s="488" t="s">
        <v>237</v>
      </c>
      <c r="K4" s="1804" t="s">
        <v>971</v>
      </c>
    </row>
    <row r="5" spans="1:11" s="170" customFormat="1" ht="11.45" customHeight="1">
      <c r="A5" s="168" t="s">
        <v>81</v>
      </c>
      <c r="B5" s="147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67">
        <v>156528</v>
      </c>
      <c r="H5" s="267">
        <v>62203</v>
      </c>
      <c r="I5" s="267">
        <v>1138644</v>
      </c>
      <c r="J5" s="267">
        <v>2021</v>
      </c>
      <c r="K5" s="267">
        <v>13330</v>
      </c>
    </row>
    <row r="6" spans="1:11" s="168" customFormat="1" ht="11.45" customHeight="1">
      <c r="A6" s="319" t="s">
        <v>192</v>
      </c>
      <c r="B6" s="316">
        <v>1030</v>
      </c>
      <c r="C6" s="316">
        <v>56181</v>
      </c>
      <c r="D6" s="316">
        <v>20241</v>
      </c>
      <c r="E6" s="316">
        <v>234510</v>
      </c>
      <c r="F6" s="316">
        <v>76970</v>
      </c>
      <c r="G6" s="311">
        <v>154384</v>
      </c>
      <c r="H6" s="311">
        <v>100963</v>
      </c>
      <c r="I6" s="311">
        <v>1011941</v>
      </c>
      <c r="J6" s="311">
        <v>1898</v>
      </c>
      <c r="K6" s="311">
        <v>14143</v>
      </c>
    </row>
    <row r="7" spans="1:11" s="168" customFormat="1" ht="11.45" customHeight="1">
      <c r="A7" s="168" t="s">
        <v>757</v>
      </c>
      <c r="B7" s="147">
        <v>955.09444444444443</v>
      </c>
      <c r="C7" s="147">
        <v>56546</v>
      </c>
      <c r="D7" s="147">
        <v>20740</v>
      </c>
      <c r="E7" s="147">
        <v>315050</v>
      </c>
      <c r="F7" s="147">
        <v>113765</v>
      </c>
      <c r="G7" s="397">
        <v>162407</v>
      </c>
      <c r="H7" s="397">
        <v>63309</v>
      </c>
      <c r="I7" s="397">
        <v>1036947</v>
      </c>
      <c r="J7" s="397">
        <v>1442</v>
      </c>
      <c r="K7" s="397">
        <v>18148</v>
      </c>
    </row>
    <row r="8" spans="1:11" s="168" customFormat="1" ht="11.45" customHeight="1">
      <c r="A8" s="319" t="s">
        <v>866</v>
      </c>
      <c r="B8" s="316">
        <v>970.12777777777774</v>
      </c>
      <c r="C8" s="316">
        <v>56949</v>
      </c>
      <c r="D8" s="316">
        <v>17774</v>
      </c>
      <c r="E8" s="316">
        <v>262620</v>
      </c>
      <c r="F8" s="316">
        <v>313265</v>
      </c>
      <c r="G8" s="311">
        <v>194048</v>
      </c>
      <c r="H8" s="311">
        <v>107133</v>
      </c>
      <c r="I8" s="311">
        <v>1074791</v>
      </c>
      <c r="J8" s="311">
        <v>2364</v>
      </c>
      <c r="K8" s="311">
        <v>20989</v>
      </c>
    </row>
    <row r="9" spans="1:11" s="168" customFormat="1" ht="11.45" customHeight="1">
      <c r="A9" s="168" t="s">
        <v>1051</v>
      </c>
      <c r="B9" s="147">
        <v>974.33888888888885</v>
      </c>
      <c r="C9" s="147">
        <v>57386</v>
      </c>
      <c r="D9" s="147">
        <v>13098</v>
      </c>
      <c r="E9" s="147">
        <v>283130</v>
      </c>
      <c r="F9" s="147">
        <v>352115</v>
      </c>
      <c r="G9" s="397">
        <v>209106</v>
      </c>
      <c r="H9" s="397">
        <v>128268</v>
      </c>
      <c r="I9" s="397">
        <v>976691</v>
      </c>
      <c r="J9" s="397">
        <v>2009</v>
      </c>
      <c r="K9" s="397">
        <v>20813</v>
      </c>
    </row>
    <row r="10" spans="1:11" s="168" customFormat="1" ht="11.45" customHeight="1">
      <c r="A10" s="319" t="s">
        <v>1105</v>
      </c>
      <c r="B10" s="311">
        <v>780.2166666666667</v>
      </c>
      <c r="C10" s="311">
        <v>44692</v>
      </c>
      <c r="D10" s="311">
        <v>12660</v>
      </c>
      <c r="E10" s="311">
        <v>264850</v>
      </c>
      <c r="F10" s="311">
        <v>609045</v>
      </c>
      <c r="G10" s="311">
        <v>298939</v>
      </c>
      <c r="H10" s="311">
        <v>77450</v>
      </c>
      <c r="I10" s="311">
        <v>1028157</v>
      </c>
      <c r="J10" s="311">
        <v>1529</v>
      </c>
      <c r="K10" s="311">
        <v>18935</v>
      </c>
    </row>
    <row r="11" spans="1:11" s="168" customFormat="1" ht="11.45" customHeight="1">
      <c r="A11" s="168" t="s">
        <v>1231</v>
      </c>
      <c r="B11" s="397">
        <v>892</v>
      </c>
      <c r="C11" s="397">
        <v>47444</v>
      </c>
      <c r="D11" s="397">
        <v>10577</v>
      </c>
      <c r="E11" s="397">
        <v>224210</v>
      </c>
      <c r="F11" s="397">
        <v>728260</v>
      </c>
      <c r="G11" s="397">
        <v>278952</v>
      </c>
      <c r="H11" s="397">
        <v>58219.3</v>
      </c>
      <c r="I11" s="397">
        <v>1010446</v>
      </c>
      <c r="J11" s="397">
        <v>1363</v>
      </c>
      <c r="K11" s="397">
        <v>19506</v>
      </c>
    </row>
    <row r="12" spans="1:11" s="168" customFormat="1" ht="11.45" customHeight="1">
      <c r="A12" s="319" t="s">
        <v>1263</v>
      </c>
      <c r="B12" s="311">
        <v>898</v>
      </c>
      <c r="C12" s="311">
        <v>47060</v>
      </c>
      <c r="D12" s="311">
        <v>6777</v>
      </c>
      <c r="E12" s="311">
        <v>175730</v>
      </c>
      <c r="F12" s="311">
        <v>657966</v>
      </c>
      <c r="G12" s="311">
        <v>348931</v>
      </c>
      <c r="H12" s="311">
        <v>59984.55</v>
      </c>
      <c r="I12" s="311">
        <v>1089418.05</v>
      </c>
      <c r="J12" s="311">
        <v>1333</v>
      </c>
      <c r="K12" s="311">
        <v>22827</v>
      </c>
    </row>
    <row r="13" spans="1:11" s="168" customFormat="1" ht="11.45" customHeight="1">
      <c r="A13" s="168" t="s">
        <v>1392</v>
      </c>
      <c r="B13" s="397">
        <v>932</v>
      </c>
      <c r="C13" s="397">
        <v>42447</v>
      </c>
      <c r="D13" s="397">
        <v>3182</v>
      </c>
      <c r="E13" s="397">
        <v>156600</v>
      </c>
      <c r="F13" s="397">
        <v>1001358</v>
      </c>
      <c r="G13" s="397">
        <v>408516</v>
      </c>
      <c r="H13" s="397">
        <v>68602.5</v>
      </c>
      <c r="I13" s="397">
        <v>913965</v>
      </c>
      <c r="J13" s="397">
        <v>1629</v>
      </c>
      <c r="K13" s="397">
        <v>25124</v>
      </c>
    </row>
    <row r="14" spans="1:11" s="168" customFormat="1" ht="11.45" customHeight="1">
      <c r="A14" s="319" t="s">
        <v>1511</v>
      </c>
      <c r="B14" s="311">
        <v>1004</v>
      </c>
      <c r="C14" s="311">
        <v>41744</v>
      </c>
      <c r="D14" s="311">
        <v>5635</v>
      </c>
      <c r="E14" s="311">
        <v>152810</v>
      </c>
      <c r="F14" s="311">
        <v>1082720</v>
      </c>
      <c r="G14" s="311">
        <v>359883</v>
      </c>
      <c r="H14" s="311">
        <v>68953.100000000006</v>
      </c>
      <c r="I14" s="311">
        <v>923425</v>
      </c>
      <c r="J14" s="311">
        <v>1431</v>
      </c>
      <c r="K14" s="311">
        <v>34653</v>
      </c>
    </row>
    <row r="15" spans="1:11" s="168" customFormat="1" ht="11.45" customHeight="1">
      <c r="A15" s="196" t="s">
        <v>1602</v>
      </c>
      <c r="B15" s="361">
        <v>1241</v>
      </c>
      <c r="C15" s="361">
        <v>35782</v>
      </c>
      <c r="D15" s="361">
        <v>7220</v>
      </c>
      <c r="E15" s="361">
        <v>161860</v>
      </c>
      <c r="F15" s="361">
        <v>1088705</v>
      </c>
      <c r="G15" s="361">
        <v>430242</v>
      </c>
      <c r="H15" s="361">
        <v>82140.45</v>
      </c>
      <c r="I15" s="361">
        <v>1100799</v>
      </c>
      <c r="J15" s="361">
        <v>1021</v>
      </c>
      <c r="K15" s="361">
        <v>44264</v>
      </c>
    </row>
    <row r="16" spans="1:11" s="168" customFormat="1" ht="11.45" customHeight="1">
      <c r="A16" s="321" t="s">
        <v>1668</v>
      </c>
      <c r="B16" s="506">
        <v>1472</v>
      </c>
      <c r="C16" s="506">
        <v>39495</v>
      </c>
      <c r="D16" s="560">
        <v>6027</v>
      </c>
      <c r="E16" s="506">
        <v>154030</v>
      </c>
      <c r="F16" s="506">
        <v>987319</v>
      </c>
      <c r="G16" s="506">
        <v>332939</v>
      </c>
      <c r="H16" s="506">
        <v>48134</v>
      </c>
      <c r="I16" s="506">
        <v>1205833</v>
      </c>
      <c r="J16" s="560">
        <v>100</v>
      </c>
      <c r="K16" s="506">
        <v>45323</v>
      </c>
    </row>
    <row r="17" spans="1:11" s="168" customFormat="1" ht="11.45" customHeight="1">
      <c r="A17" s="196" t="s">
        <v>2018</v>
      </c>
      <c r="B17" s="361">
        <f>SUM(B18:B29)</f>
        <v>1479</v>
      </c>
      <c r="C17" s="361">
        <f t="shared" ref="C17:I17" si="0">SUM(C18:C29)</f>
        <v>51854</v>
      </c>
      <c r="D17" s="511">
        <f t="shared" si="0"/>
        <v>2277</v>
      </c>
      <c r="E17" s="361">
        <f t="shared" si="0"/>
        <v>149500</v>
      </c>
      <c r="F17" s="361">
        <f t="shared" si="0"/>
        <v>888610</v>
      </c>
      <c r="G17" s="361">
        <f t="shared" si="0"/>
        <v>429542</v>
      </c>
      <c r="H17" s="361">
        <f t="shared" si="0"/>
        <v>21486</v>
      </c>
      <c r="I17" s="361">
        <f t="shared" si="0"/>
        <v>1197117</v>
      </c>
      <c r="J17" s="511">
        <f>SUM(J18:J29)</f>
        <v>1368</v>
      </c>
      <c r="K17" s="361">
        <f>SUM(K18:K29)</f>
        <v>41441</v>
      </c>
    </row>
    <row r="18" spans="1:11" s="168" customFormat="1" ht="11.45" customHeight="1">
      <c r="A18" s="319" t="s">
        <v>576</v>
      </c>
      <c r="B18" s="309">
        <v>120</v>
      </c>
      <c r="C18" s="309">
        <v>3416</v>
      </c>
      <c r="D18" s="309">
        <v>181</v>
      </c>
      <c r="E18" s="309">
        <v>13100</v>
      </c>
      <c r="F18" s="309">
        <v>53644</v>
      </c>
      <c r="G18" s="309">
        <v>26786</v>
      </c>
      <c r="H18" s="311">
        <v>0</v>
      </c>
      <c r="I18" s="311">
        <v>53314</v>
      </c>
      <c r="J18" s="309">
        <v>6</v>
      </c>
      <c r="K18" s="309">
        <v>3710</v>
      </c>
    </row>
    <row r="19" spans="1:11" s="168" customFormat="1" ht="11.45" customHeight="1">
      <c r="A19" s="168" t="s">
        <v>577</v>
      </c>
      <c r="B19" s="267">
        <v>130</v>
      </c>
      <c r="C19" s="267">
        <v>3962</v>
      </c>
      <c r="D19" s="267">
        <v>51</v>
      </c>
      <c r="E19" s="267">
        <v>13150</v>
      </c>
      <c r="F19" s="267">
        <v>74490</v>
      </c>
      <c r="G19" s="267">
        <v>41400</v>
      </c>
      <c r="H19" s="397">
        <v>0</v>
      </c>
      <c r="I19" s="397">
        <v>93154</v>
      </c>
      <c r="J19" s="267">
        <v>86</v>
      </c>
      <c r="K19" s="267">
        <v>3715</v>
      </c>
    </row>
    <row r="20" spans="1:11" s="168" customFormat="1" ht="11.45" customHeight="1">
      <c r="A20" s="319" t="s">
        <v>571</v>
      </c>
      <c r="B20" s="309">
        <v>129</v>
      </c>
      <c r="C20" s="309">
        <v>3970</v>
      </c>
      <c r="D20" s="309">
        <v>276</v>
      </c>
      <c r="E20" s="309">
        <v>13200</v>
      </c>
      <c r="F20" s="309">
        <v>101464</v>
      </c>
      <c r="G20" s="309">
        <v>42419</v>
      </c>
      <c r="H20" s="311">
        <v>0</v>
      </c>
      <c r="I20" s="311">
        <v>89898</v>
      </c>
      <c r="J20" s="311">
        <v>140</v>
      </c>
      <c r="K20" s="309">
        <v>3725</v>
      </c>
    </row>
    <row r="21" spans="1:11" s="168" customFormat="1" ht="11.45" customHeight="1">
      <c r="A21" s="168" t="s">
        <v>578</v>
      </c>
      <c r="B21" s="267">
        <v>130</v>
      </c>
      <c r="C21" s="267">
        <v>4008</v>
      </c>
      <c r="D21" s="267">
        <v>154</v>
      </c>
      <c r="E21" s="267">
        <v>13250</v>
      </c>
      <c r="F21" s="267">
        <v>66228</v>
      </c>
      <c r="G21" s="267">
        <v>45628</v>
      </c>
      <c r="H21" s="397">
        <v>0</v>
      </c>
      <c r="I21" s="397">
        <v>89076</v>
      </c>
      <c r="J21" s="397">
        <v>128</v>
      </c>
      <c r="K21" s="267">
        <v>3730</v>
      </c>
    </row>
    <row r="22" spans="1:11" s="168" customFormat="1" ht="11.45" customHeight="1">
      <c r="A22" s="319" t="s">
        <v>579</v>
      </c>
      <c r="B22" s="309">
        <v>127</v>
      </c>
      <c r="C22" s="309">
        <v>4101</v>
      </c>
      <c r="D22" s="309">
        <v>183</v>
      </c>
      <c r="E22" s="309">
        <v>12900</v>
      </c>
      <c r="F22" s="309">
        <v>86446</v>
      </c>
      <c r="G22" s="309">
        <v>44704</v>
      </c>
      <c r="H22" s="311">
        <v>110</v>
      </c>
      <c r="I22" s="311">
        <v>57692</v>
      </c>
      <c r="J22" s="311">
        <v>137</v>
      </c>
      <c r="K22" s="309">
        <v>3572</v>
      </c>
    </row>
    <row r="23" spans="1:11" s="168" customFormat="1" ht="11.45" customHeight="1">
      <c r="A23" s="168" t="s">
        <v>572</v>
      </c>
      <c r="B23" s="267">
        <v>129</v>
      </c>
      <c r="C23" s="267">
        <v>4132</v>
      </c>
      <c r="D23" s="267">
        <v>293</v>
      </c>
      <c r="E23" s="267">
        <v>13050</v>
      </c>
      <c r="F23" s="267">
        <v>80134</v>
      </c>
      <c r="G23" s="267">
        <v>36157</v>
      </c>
      <c r="H23" s="397">
        <v>6600</v>
      </c>
      <c r="I23" s="397">
        <v>59945</v>
      </c>
      <c r="J23" s="397">
        <v>129</v>
      </c>
      <c r="K23" s="267">
        <v>3275</v>
      </c>
    </row>
    <row r="24" spans="1:11" s="168" customFormat="1" ht="11.45" customHeight="1">
      <c r="A24" s="319" t="s">
        <v>580</v>
      </c>
      <c r="B24" s="309">
        <v>131</v>
      </c>
      <c r="C24" s="309">
        <v>4154</v>
      </c>
      <c r="D24" s="309">
        <v>336</v>
      </c>
      <c r="E24" s="309">
        <v>13100</v>
      </c>
      <c r="F24" s="309">
        <v>80512</v>
      </c>
      <c r="G24" s="309">
        <v>35932</v>
      </c>
      <c r="H24" s="311">
        <v>12735</v>
      </c>
      <c r="I24" s="311">
        <v>105807</v>
      </c>
      <c r="J24" s="311">
        <v>131</v>
      </c>
      <c r="K24" s="309">
        <v>3285</v>
      </c>
    </row>
    <row r="25" spans="1:11" s="168" customFormat="1" ht="11.45" customHeight="1">
      <c r="A25" s="168" t="s">
        <v>581</v>
      </c>
      <c r="B25" s="267">
        <v>126</v>
      </c>
      <c r="C25" s="267">
        <v>4175</v>
      </c>
      <c r="D25" s="267">
        <v>315</v>
      </c>
      <c r="E25" s="267">
        <v>12050</v>
      </c>
      <c r="F25" s="267">
        <v>73491</v>
      </c>
      <c r="G25" s="267">
        <v>39220</v>
      </c>
      <c r="H25" s="397">
        <v>2041</v>
      </c>
      <c r="I25" s="397">
        <v>104876</v>
      </c>
      <c r="J25" s="397">
        <v>120</v>
      </c>
      <c r="K25" s="267">
        <v>3290</v>
      </c>
    </row>
    <row r="26" spans="1:11" s="168" customFormat="1" ht="11.45" customHeight="1">
      <c r="A26" s="319" t="s">
        <v>573</v>
      </c>
      <c r="B26" s="309">
        <v>101</v>
      </c>
      <c r="C26" s="309">
        <v>4182</v>
      </c>
      <c r="D26" s="309">
        <v>135</v>
      </c>
      <c r="E26" s="309">
        <v>11500</v>
      </c>
      <c r="F26" s="309">
        <v>70490</v>
      </c>
      <c r="G26" s="309">
        <v>30444</v>
      </c>
      <c r="H26" s="311">
        <v>0</v>
      </c>
      <c r="I26" s="311">
        <v>151828</v>
      </c>
      <c r="J26" s="311">
        <v>144</v>
      </c>
      <c r="K26" s="309">
        <v>3299</v>
      </c>
    </row>
    <row r="27" spans="1:11" s="168" customFormat="1" ht="11.45" customHeight="1">
      <c r="A27" s="168" t="s">
        <v>582</v>
      </c>
      <c r="B27" s="267">
        <v>109</v>
      </c>
      <c r="C27" s="267">
        <v>4187</v>
      </c>
      <c r="D27" s="267">
        <v>106</v>
      </c>
      <c r="E27" s="267">
        <v>11450</v>
      </c>
      <c r="F27" s="267">
        <v>78608</v>
      </c>
      <c r="G27" s="267">
        <v>26301</v>
      </c>
      <c r="H27" s="397">
        <v>0</v>
      </c>
      <c r="I27" s="397">
        <v>106132</v>
      </c>
      <c r="J27" s="397">
        <v>130</v>
      </c>
      <c r="K27" s="267">
        <v>3290</v>
      </c>
    </row>
    <row r="28" spans="1:11" s="168" customFormat="1" ht="11.45" customHeight="1">
      <c r="A28" s="319" t="s">
        <v>583</v>
      </c>
      <c r="B28" s="309">
        <v>124</v>
      </c>
      <c r="C28" s="309">
        <v>5527</v>
      </c>
      <c r="D28" s="309">
        <v>122</v>
      </c>
      <c r="E28" s="309">
        <v>11400</v>
      </c>
      <c r="F28" s="309">
        <v>60180</v>
      </c>
      <c r="G28" s="309">
        <v>30026</v>
      </c>
      <c r="H28" s="311">
        <v>0</v>
      </c>
      <c r="I28" s="311">
        <v>152818</v>
      </c>
      <c r="J28" s="311">
        <v>94</v>
      </c>
      <c r="K28" s="309">
        <v>3275</v>
      </c>
    </row>
    <row r="29" spans="1:11" s="168" customFormat="1" ht="11.45" customHeight="1">
      <c r="A29" s="168" t="s">
        <v>574</v>
      </c>
      <c r="B29" s="267">
        <v>123</v>
      </c>
      <c r="C29" s="267">
        <v>6040</v>
      </c>
      <c r="D29" s="267">
        <v>125</v>
      </c>
      <c r="E29" s="267">
        <v>11350</v>
      </c>
      <c r="F29" s="267">
        <v>62923</v>
      </c>
      <c r="G29" s="267">
        <v>30525</v>
      </c>
      <c r="H29" s="397">
        <v>0</v>
      </c>
      <c r="I29" s="397">
        <v>132577</v>
      </c>
      <c r="J29" s="397">
        <v>123</v>
      </c>
      <c r="K29" s="267">
        <v>3275</v>
      </c>
    </row>
    <row r="30" spans="1:11" s="168" customFormat="1" ht="11.45" customHeight="1">
      <c r="A30" s="321" t="s">
        <v>2299</v>
      </c>
      <c r="B30" s="309"/>
      <c r="C30" s="309"/>
      <c r="D30" s="560">
        <f t="shared" ref="D30" si="1">SUM(D31:D42)</f>
        <v>1541</v>
      </c>
      <c r="E30" s="309"/>
      <c r="F30" s="309"/>
      <c r="G30" s="309"/>
      <c r="H30" s="506">
        <f t="shared" ref="H30:I30" si="2">SUM(H31:H42)</f>
        <v>20753.25</v>
      </c>
      <c r="I30" s="506">
        <f t="shared" si="2"/>
        <v>947827.05</v>
      </c>
      <c r="J30" s="560">
        <f>SUM(J31:J42)</f>
        <v>1257</v>
      </c>
      <c r="K30" s="309"/>
    </row>
    <row r="31" spans="1:11" s="168" customFormat="1" ht="11.45" customHeight="1">
      <c r="A31" s="265" t="s">
        <v>576</v>
      </c>
      <c r="B31" s="267">
        <v>121</v>
      </c>
      <c r="C31" s="267">
        <v>4185</v>
      </c>
      <c r="D31" s="267">
        <v>113</v>
      </c>
      <c r="E31" s="267">
        <v>11250</v>
      </c>
      <c r="F31" s="267">
        <v>65923</v>
      </c>
      <c r="G31" s="267">
        <v>29216</v>
      </c>
      <c r="H31" s="397">
        <v>0</v>
      </c>
      <c r="I31" s="397">
        <v>71531</v>
      </c>
      <c r="J31" s="397">
        <v>116</v>
      </c>
      <c r="K31" s="267">
        <v>3127</v>
      </c>
    </row>
    <row r="32" spans="1:11" s="168" customFormat="1" ht="11.45" customHeight="1">
      <c r="A32" s="341" t="s">
        <v>577</v>
      </c>
      <c r="B32" s="309">
        <v>124</v>
      </c>
      <c r="C32" s="309">
        <v>4503</v>
      </c>
      <c r="D32" s="309">
        <v>112</v>
      </c>
      <c r="E32" s="309">
        <v>11320</v>
      </c>
      <c r="F32" s="309">
        <v>74093</v>
      </c>
      <c r="G32" s="309">
        <v>47331</v>
      </c>
      <c r="H32" s="311">
        <v>0</v>
      </c>
      <c r="I32" s="311">
        <v>97401</v>
      </c>
      <c r="J32" s="311">
        <v>141</v>
      </c>
      <c r="K32" s="309">
        <v>3100</v>
      </c>
    </row>
    <row r="33" spans="1:11" s="168" customFormat="1" ht="11.45" customHeight="1">
      <c r="A33" s="265" t="s">
        <v>571</v>
      </c>
      <c r="B33" s="267">
        <v>120</v>
      </c>
      <c r="C33" s="267">
        <v>3663</v>
      </c>
      <c r="D33" s="267">
        <v>0</v>
      </c>
      <c r="E33" s="267">
        <v>11920</v>
      </c>
      <c r="F33" s="267">
        <v>58214</v>
      </c>
      <c r="G33" s="267" t="s">
        <v>298</v>
      </c>
      <c r="H33" s="397">
        <v>0</v>
      </c>
      <c r="I33" s="397">
        <v>76099</v>
      </c>
      <c r="J33" s="397">
        <v>119</v>
      </c>
      <c r="K33" s="267">
        <v>3250</v>
      </c>
    </row>
    <row r="34" spans="1:11" s="168" customFormat="1" ht="11.45" customHeight="1">
      <c r="A34" s="341" t="s">
        <v>578</v>
      </c>
      <c r="B34" s="309" t="s">
        <v>298</v>
      </c>
      <c r="C34" s="309" t="s">
        <v>298</v>
      </c>
      <c r="D34" s="309">
        <v>38</v>
      </c>
      <c r="E34" s="309" t="s">
        <v>298</v>
      </c>
      <c r="F34" s="309" t="s">
        <v>298</v>
      </c>
      <c r="G34" s="309" t="s">
        <v>298</v>
      </c>
      <c r="H34" s="311">
        <v>0</v>
      </c>
      <c r="I34" s="311">
        <v>101250</v>
      </c>
      <c r="J34" s="311">
        <v>121</v>
      </c>
      <c r="K34" s="309" t="s">
        <v>298</v>
      </c>
    </row>
    <row r="35" spans="1:11" s="168" customFormat="1" ht="11.45" customHeight="1">
      <c r="A35" s="265" t="s">
        <v>579</v>
      </c>
      <c r="B35" s="267" t="s">
        <v>298</v>
      </c>
      <c r="C35" s="267" t="s">
        <v>298</v>
      </c>
      <c r="D35" s="267">
        <v>63</v>
      </c>
      <c r="E35" s="267" t="s">
        <v>298</v>
      </c>
      <c r="F35" s="267" t="s">
        <v>298</v>
      </c>
      <c r="G35" s="267" t="s">
        <v>298</v>
      </c>
      <c r="H35" s="397">
        <v>340</v>
      </c>
      <c r="I35" s="397">
        <v>98044</v>
      </c>
      <c r="J35" s="397">
        <v>125</v>
      </c>
      <c r="K35" s="267" t="s">
        <v>298</v>
      </c>
    </row>
    <row r="36" spans="1:11" s="168" customFormat="1" ht="11.45" customHeight="1">
      <c r="A36" s="341" t="s">
        <v>572</v>
      </c>
      <c r="B36" s="309" t="s">
        <v>298</v>
      </c>
      <c r="C36" s="309" t="s">
        <v>298</v>
      </c>
      <c r="D36" s="309">
        <v>0</v>
      </c>
      <c r="E36" s="309" t="s">
        <v>298</v>
      </c>
      <c r="F36" s="309" t="s">
        <v>298</v>
      </c>
      <c r="G36" s="309" t="s">
        <v>298</v>
      </c>
      <c r="H36" s="311">
        <v>8726</v>
      </c>
      <c r="I36" s="311">
        <v>101463</v>
      </c>
      <c r="J36" s="311">
        <v>127</v>
      </c>
      <c r="K36" s="309" t="s">
        <v>298</v>
      </c>
    </row>
    <row r="37" spans="1:11" s="168" customFormat="1" ht="11.45" customHeight="1">
      <c r="A37" s="265" t="s">
        <v>580</v>
      </c>
      <c r="B37" s="267" t="s">
        <v>298</v>
      </c>
      <c r="C37" s="267" t="s">
        <v>298</v>
      </c>
      <c r="D37" s="267">
        <v>202</v>
      </c>
      <c r="E37" s="267" t="s">
        <v>298</v>
      </c>
      <c r="F37" s="267" t="s">
        <v>298</v>
      </c>
      <c r="G37" s="267" t="s">
        <v>298</v>
      </c>
      <c r="H37" s="397">
        <v>11444.5</v>
      </c>
      <c r="I37" s="397">
        <v>79747</v>
      </c>
      <c r="J37" s="397">
        <v>132</v>
      </c>
      <c r="K37" s="267" t="s">
        <v>298</v>
      </c>
    </row>
    <row r="38" spans="1:11" s="168" customFormat="1" ht="11.45" customHeight="1">
      <c r="A38" s="341" t="s">
        <v>581</v>
      </c>
      <c r="B38" s="309" t="s">
        <v>298</v>
      </c>
      <c r="C38" s="309" t="s">
        <v>298</v>
      </c>
      <c r="D38" s="309">
        <v>244</v>
      </c>
      <c r="E38" s="309" t="s">
        <v>298</v>
      </c>
      <c r="F38" s="309" t="s">
        <v>298</v>
      </c>
      <c r="G38" s="309" t="s">
        <v>298</v>
      </c>
      <c r="H38" s="311">
        <v>242.75</v>
      </c>
      <c r="I38" s="311">
        <v>41073</v>
      </c>
      <c r="J38" s="311">
        <v>112</v>
      </c>
      <c r="K38" s="309" t="s">
        <v>298</v>
      </c>
    </row>
    <row r="39" spans="1:11" s="168" customFormat="1" ht="11.45" customHeight="1">
      <c r="A39" s="1561" t="s">
        <v>573</v>
      </c>
      <c r="B39" s="464" t="s">
        <v>298</v>
      </c>
      <c r="C39" s="464" t="s">
        <v>298</v>
      </c>
      <c r="D39" s="464">
        <v>191</v>
      </c>
      <c r="E39" s="464" t="s">
        <v>298</v>
      </c>
      <c r="F39" s="464" t="s">
        <v>298</v>
      </c>
      <c r="G39" s="464" t="s">
        <v>298</v>
      </c>
      <c r="H39" s="1708">
        <v>0</v>
      </c>
      <c r="I39" s="1708">
        <v>58484</v>
      </c>
      <c r="J39" s="1708">
        <v>93</v>
      </c>
      <c r="K39" s="464" t="s">
        <v>298</v>
      </c>
    </row>
    <row r="40" spans="1:11" s="168" customFormat="1" ht="11.45" customHeight="1">
      <c r="A40" s="1709" t="s">
        <v>582</v>
      </c>
      <c r="B40" s="1710" t="s">
        <v>298</v>
      </c>
      <c r="C40" s="1710" t="s">
        <v>298</v>
      </c>
      <c r="D40" s="1710">
        <v>167</v>
      </c>
      <c r="E40" s="1710" t="s">
        <v>298</v>
      </c>
      <c r="F40" s="1710" t="s">
        <v>298</v>
      </c>
      <c r="G40" s="1710" t="s">
        <v>298</v>
      </c>
      <c r="H40" s="1164">
        <v>0</v>
      </c>
      <c r="I40" s="1164">
        <v>81520</v>
      </c>
      <c r="J40" s="1164">
        <v>69</v>
      </c>
      <c r="K40" s="1710" t="s">
        <v>298</v>
      </c>
    </row>
    <row r="41" spans="1:11" s="168" customFormat="1" ht="11.45" customHeight="1">
      <c r="A41" s="1561" t="s">
        <v>583</v>
      </c>
      <c r="B41" s="464" t="s">
        <v>298</v>
      </c>
      <c r="C41" s="464" t="s">
        <v>298</v>
      </c>
      <c r="D41" s="464">
        <v>202</v>
      </c>
      <c r="E41" s="464" t="s">
        <v>298</v>
      </c>
      <c r="F41" s="464" t="s">
        <v>298</v>
      </c>
      <c r="G41" s="464" t="s">
        <v>298</v>
      </c>
      <c r="H41" s="1708">
        <v>0</v>
      </c>
      <c r="I41" s="1708">
        <v>69408</v>
      </c>
      <c r="J41" s="1708">
        <v>48</v>
      </c>
      <c r="K41" s="464" t="s">
        <v>298</v>
      </c>
    </row>
    <row r="42" spans="1:11" s="168" customFormat="1" ht="11.45" customHeight="1">
      <c r="A42" s="1709" t="s">
        <v>574</v>
      </c>
      <c r="B42" s="1710" t="s">
        <v>298</v>
      </c>
      <c r="C42" s="1710" t="s">
        <v>298</v>
      </c>
      <c r="D42" s="1710">
        <v>209</v>
      </c>
      <c r="E42" s="1710" t="s">
        <v>298</v>
      </c>
      <c r="F42" s="1710" t="s">
        <v>298</v>
      </c>
      <c r="G42" s="1710" t="s">
        <v>298</v>
      </c>
      <c r="H42" s="1164">
        <v>0</v>
      </c>
      <c r="I42" s="1164">
        <f>8472+7950+55385.05</f>
        <v>71807.05</v>
      </c>
      <c r="J42" s="1164">
        <v>54</v>
      </c>
      <c r="K42" s="1710" t="s">
        <v>298</v>
      </c>
    </row>
    <row r="43" spans="1:11" s="168" customFormat="1" ht="11.45" customHeight="1">
      <c r="A43" s="196" t="s">
        <v>2515</v>
      </c>
      <c r="B43" s="464"/>
      <c r="C43" s="464"/>
      <c r="D43" s="464"/>
      <c r="E43" s="464"/>
      <c r="F43" s="464"/>
      <c r="G43" s="464"/>
      <c r="H43" s="1708"/>
      <c r="I43" s="1708"/>
      <c r="J43" s="1708"/>
      <c r="K43" s="464"/>
    </row>
    <row r="44" spans="1:11" s="168" customFormat="1" ht="11.45" customHeight="1">
      <c r="A44" s="1709" t="s">
        <v>576</v>
      </c>
      <c r="B44" s="1710" t="s">
        <v>298</v>
      </c>
      <c r="C44" s="1710" t="s">
        <v>298</v>
      </c>
      <c r="D44" s="1710">
        <v>330</v>
      </c>
      <c r="E44" s="1710" t="s">
        <v>298</v>
      </c>
      <c r="F44" s="1710" t="s">
        <v>298</v>
      </c>
      <c r="G44" s="1710" t="s">
        <v>298</v>
      </c>
      <c r="H44" s="1164">
        <v>0</v>
      </c>
      <c r="I44" s="1164">
        <f>3402+5705+58877</f>
        <v>67984</v>
      </c>
      <c r="J44" s="1164">
        <v>38</v>
      </c>
      <c r="K44" s="1710" t="s">
        <v>298</v>
      </c>
    </row>
    <row r="45" spans="1:11" s="168" customFormat="1" ht="11.45" customHeight="1">
      <c r="A45" s="1561" t="s">
        <v>577</v>
      </c>
      <c r="B45" s="464" t="s">
        <v>298</v>
      </c>
      <c r="C45" s="464" t="s">
        <v>298</v>
      </c>
      <c r="D45" s="1708">
        <v>79.33</v>
      </c>
      <c r="E45" s="464" t="s">
        <v>298</v>
      </c>
      <c r="F45" s="464" t="s">
        <v>298</v>
      </c>
      <c r="G45" s="464" t="s">
        <v>298</v>
      </c>
      <c r="H45" s="1708">
        <v>0</v>
      </c>
      <c r="I45" s="1708">
        <f>4838+6880+79156</f>
        <v>90874</v>
      </c>
      <c r="J45" s="1708">
        <v>15</v>
      </c>
      <c r="K45" s="464" t="s">
        <v>298</v>
      </c>
    </row>
    <row r="46" spans="1:11" s="168" customFormat="1" ht="11.45" customHeight="1">
      <c r="A46" s="1709" t="s">
        <v>571</v>
      </c>
      <c r="B46" s="1710"/>
      <c r="C46" s="1710"/>
      <c r="D46" s="1164">
        <v>408</v>
      </c>
      <c r="E46" s="1710"/>
      <c r="F46" s="1710"/>
      <c r="G46" s="1710"/>
      <c r="H46" s="1164">
        <v>0</v>
      </c>
      <c r="I46" s="1164">
        <f>30814+9066+6908</f>
        <v>46788</v>
      </c>
      <c r="J46" s="1164">
        <v>0</v>
      </c>
      <c r="K46" s="1710"/>
    </row>
    <row r="47" spans="1:11" s="168" customFormat="1" ht="11.45" customHeight="1">
      <c r="A47" s="1561" t="s">
        <v>578</v>
      </c>
      <c r="B47" s="464"/>
      <c r="C47" s="464"/>
      <c r="D47" s="1708">
        <v>227</v>
      </c>
      <c r="E47" s="464"/>
      <c r="F47" s="464"/>
      <c r="G47" s="464"/>
      <c r="H47" s="1708">
        <v>0</v>
      </c>
      <c r="I47" s="1708">
        <f>4589+6765+8624</f>
        <v>19978</v>
      </c>
      <c r="J47" s="1708">
        <v>0</v>
      </c>
      <c r="K47" s="464"/>
    </row>
    <row r="48" spans="1:11" s="168" customFormat="1" ht="11.45" customHeight="1" thickBot="1">
      <c r="A48" s="1825" t="s">
        <v>579</v>
      </c>
      <c r="B48" s="1826"/>
      <c r="C48" s="1826"/>
      <c r="D48" s="1827">
        <v>331</v>
      </c>
      <c r="E48" s="1826"/>
      <c r="F48" s="1826"/>
      <c r="G48" s="1826"/>
      <c r="H48" s="1827">
        <v>1941</v>
      </c>
      <c r="I48" s="1827">
        <f>61870+11865+3283</f>
        <v>77018</v>
      </c>
      <c r="J48" s="1827">
        <v>0</v>
      </c>
      <c r="K48" s="1826"/>
    </row>
    <row r="49" spans="1:11" s="297" customFormat="1" ht="12" customHeight="1">
      <c r="A49" s="490" t="s">
        <v>731</v>
      </c>
      <c r="B49" s="2221" t="s">
        <v>1445</v>
      </c>
      <c r="C49" s="2221"/>
      <c r="D49" s="2221"/>
      <c r="E49" s="2221"/>
      <c r="F49" s="167"/>
      <c r="G49" s="491" t="s">
        <v>238</v>
      </c>
      <c r="H49" s="2220" t="s">
        <v>2490</v>
      </c>
      <c r="I49" s="2220"/>
      <c r="J49" s="2220"/>
      <c r="K49" s="2220"/>
    </row>
    <row r="50" spans="1:11" s="297" customFormat="1" ht="9" customHeight="1">
      <c r="A50" s="167" t="s">
        <v>647</v>
      </c>
      <c r="B50" s="2215" t="s">
        <v>1446</v>
      </c>
      <c r="C50" s="2215"/>
      <c r="D50" s="2215"/>
      <c r="E50" s="1134"/>
      <c r="F50" s="1134"/>
      <c r="G50" s="491"/>
      <c r="H50" s="1809" t="s">
        <v>2461</v>
      </c>
      <c r="I50" s="1809"/>
      <c r="J50" s="1809"/>
      <c r="K50" s="1809"/>
    </row>
    <row r="51" spans="1:11" s="297" customFormat="1" ht="9" customHeight="1">
      <c r="A51" s="492" t="s">
        <v>239</v>
      </c>
      <c r="B51" s="2215" t="s">
        <v>2489</v>
      </c>
      <c r="C51" s="2215"/>
      <c r="D51" s="2215"/>
      <c r="E51" s="1134"/>
      <c r="F51" s="1133"/>
      <c r="G51" s="492"/>
      <c r="H51" s="2219" t="s">
        <v>2462</v>
      </c>
      <c r="I51" s="2219"/>
      <c r="J51" s="2219"/>
      <c r="K51" s="2219"/>
    </row>
    <row r="52" spans="1:11" s="297" customFormat="1" ht="9" customHeight="1">
      <c r="A52" s="492" t="s">
        <v>240</v>
      </c>
      <c r="B52" s="2215"/>
      <c r="C52" s="2215"/>
      <c r="D52" s="2215"/>
      <c r="E52" s="2215"/>
      <c r="F52" s="2215"/>
      <c r="G52" s="492"/>
      <c r="H52" s="2215" t="s">
        <v>1461</v>
      </c>
      <c r="I52" s="2215"/>
      <c r="J52" s="2215"/>
      <c r="K52" s="2215"/>
    </row>
    <row r="53" spans="1:11" s="297" customFormat="1" ht="9" customHeight="1">
      <c r="A53" s="492" t="s">
        <v>241</v>
      </c>
      <c r="B53" s="2215"/>
      <c r="C53" s="2215"/>
      <c r="D53" s="2215"/>
      <c r="E53" s="492"/>
      <c r="F53" s="492"/>
      <c r="G53" s="492"/>
      <c r="H53" s="2215" t="s">
        <v>1666</v>
      </c>
      <c r="I53" s="2215"/>
      <c r="J53" s="1810"/>
      <c r="K53" s="1810"/>
    </row>
    <row r="54" spans="1:11">
      <c r="F54" s="894"/>
    </row>
    <row r="55" spans="1:11">
      <c r="B55" s="894"/>
      <c r="C55" s="894"/>
      <c r="D55" s="894"/>
      <c r="E55" s="894"/>
      <c r="F55" s="894"/>
    </row>
    <row r="56" spans="1:11">
      <c r="B56" s="894"/>
      <c r="C56" s="894"/>
      <c r="D56" s="894"/>
      <c r="E56" s="894"/>
    </row>
    <row r="57" spans="1:11">
      <c r="B57" s="894"/>
      <c r="C57" s="894"/>
      <c r="D57" s="894"/>
      <c r="E57" s="894"/>
    </row>
    <row r="58" spans="1:11">
      <c r="B58" s="894"/>
      <c r="C58" s="894"/>
    </row>
    <row r="60" spans="1:11">
      <c r="B60" s="894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B52:F52"/>
    <mergeCell ref="H52:K52"/>
    <mergeCell ref="B53:D53"/>
    <mergeCell ref="H53:I53"/>
    <mergeCell ref="A1:I1"/>
    <mergeCell ref="J1:K1"/>
    <mergeCell ref="G2:I2"/>
    <mergeCell ref="B51:D51"/>
    <mergeCell ref="H51:K51"/>
    <mergeCell ref="B50:D50"/>
    <mergeCell ref="H49:K49"/>
    <mergeCell ref="B49:E49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61"/>
  <sheetViews>
    <sheetView tabSelected="1" topLeftCell="A34" zoomScale="160" zoomScaleNormal="160" workbookViewId="0">
      <selection activeCell="B45" sqref="B45:C45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29" t="s">
        <v>2463</v>
      </c>
      <c r="B1" s="2229"/>
      <c r="C1" s="2229"/>
      <c r="D1" s="2229"/>
      <c r="E1" s="2229"/>
      <c r="F1" s="2229"/>
      <c r="G1" s="2224" t="s">
        <v>2492</v>
      </c>
      <c r="H1" s="2224"/>
    </row>
    <row r="2" spans="1:8" s="35" customFormat="1" ht="9" customHeight="1">
      <c r="A2" s="1559"/>
      <c r="B2" s="1559"/>
      <c r="C2" s="1559"/>
      <c r="D2" s="1559"/>
      <c r="E2" s="1559"/>
      <c r="F2" s="1559"/>
      <c r="G2" s="1560"/>
      <c r="H2" s="1560"/>
    </row>
    <row r="3" spans="1:8" s="1006" customFormat="1" ht="9.75" customHeight="1">
      <c r="A3" s="2149" t="s">
        <v>498</v>
      </c>
      <c r="B3" s="2225" t="s">
        <v>1366</v>
      </c>
      <c r="C3" s="2225"/>
      <c r="D3" s="2225" t="s">
        <v>91</v>
      </c>
      <c r="E3" s="2225"/>
      <c r="F3" s="2230" t="s">
        <v>2285</v>
      </c>
      <c r="G3" s="2225" t="s">
        <v>1332</v>
      </c>
      <c r="H3" s="2225"/>
    </row>
    <row r="4" spans="1:8" s="1006" customFormat="1" ht="19.5" customHeight="1">
      <c r="A4" s="2149"/>
      <c r="B4" s="2226" t="s">
        <v>2284</v>
      </c>
      <c r="C4" s="2226" t="s">
        <v>2464</v>
      </c>
      <c r="D4" s="2226" t="s">
        <v>1465</v>
      </c>
      <c r="E4" s="2226" t="s">
        <v>1466</v>
      </c>
      <c r="F4" s="2226"/>
      <c r="G4" s="2226" t="s">
        <v>2427</v>
      </c>
      <c r="H4" s="2226" t="s">
        <v>1467</v>
      </c>
    </row>
    <row r="5" spans="1:8" s="1006" customFormat="1" ht="12.75" customHeight="1">
      <c r="A5" s="2149"/>
      <c r="B5" s="2226"/>
      <c r="C5" s="2226"/>
      <c r="D5" s="2226"/>
      <c r="E5" s="2226"/>
      <c r="F5" s="2226"/>
      <c r="G5" s="2226"/>
      <c r="H5" s="2226"/>
    </row>
    <row r="6" spans="1:8" s="1006" customFormat="1" ht="12.75" customHeight="1">
      <c r="A6" s="2150"/>
      <c r="B6" s="2226"/>
      <c r="C6" s="2226"/>
      <c r="D6" s="2226"/>
      <c r="E6" s="2226"/>
      <c r="F6" s="2226"/>
      <c r="G6" s="2226"/>
      <c r="H6" s="2226"/>
    </row>
    <row r="7" spans="1:8" s="8" customFormat="1" ht="9.75" customHeight="1">
      <c r="A7" s="1554">
        <v>2009</v>
      </c>
      <c r="B7" s="940">
        <v>3756.3333333333335</v>
      </c>
      <c r="C7" s="940">
        <v>7758.333333333333</v>
      </c>
      <c r="D7" s="781">
        <v>35.204166666666673</v>
      </c>
      <c r="E7" s="940">
        <v>23980.833333333332</v>
      </c>
      <c r="F7" s="781">
        <v>128.69797063195713</v>
      </c>
      <c r="G7" s="940">
        <v>586.66666666666663</v>
      </c>
      <c r="H7" s="940">
        <v>90.25</v>
      </c>
    </row>
    <row r="8" spans="1:8" s="8" customFormat="1" ht="9.75" customHeight="1">
      <c r="A8" s="937">
        <v>2010</v>
      </c>
      <c r="B8" s="941">
        <v>6190.916666666667</v>
      </c>
      <c r="C8" s="941">
        <v>13941.416666666666</v>
      </c>
      <c r="D8" s="745">
        <v>35.166666666666664</v>
      </c>
      <c r="E8" s="941">
        <v>31114.166666666668</v>
      </c>
      <c r="F8" s="745">
        <v>142.05333333333334</v>
      </c>
      <c r="G8" s="941">
        <v>912.5</v>
      </c>
      <c r="H8" s="941">
        <v>101.58333333333333</v>
      </c>
    </row>
    <row r="9" spans="1:8" s="170" customFormat="1" ht="9.75" customHeight="1">
      <c r="A9" s="938">
        <v>2011</v>
      </c>
      <c r="B9" s="942">
        <v>5937.5</v>
      </c>
      <c r="C9" s="942">
        <v>13850</v>
      </c>
      <c r="D9" s="810">
        <v>37.541666666666664</v>
      </c>
      <c r="E9" s="942">
        <v>26950</v>
      </c>
      <c r="F9" s="810">
        <v>166.13499999999999</v>
      </c>
      <c r="G9" s="942">
        <v>1087.9166666666667</v>
      </c>
      <c r="H9" s="942">
        <v>156.33333333333334</v>
      </c>
    </row>
    <row r="10" spans="1:8" s="170" customFormat="1" ht="9.75" customHeight="1">
      <c r="A10" s="937">
        <v>2012</v>
      </c>
      <c r="B10" s="941">
        <v>5833.333333333333</v>
      </c>
      <c r="C10" s="941">
        <v>13600</v>
      </c>
      <c r="D10" s="745">
        <v>32.875</v>
      </c>
      <c r="E10" s="941">
        <v>54033.333333333336</v>
      </c>
      <c r="F10" s="745">
        <v>172.94416666666669</v>
      </c>
      <c r="G10" s="941">
        <v>1053.125</v>
      </c>
      <c r="H10" s="941">
        <v>112.77777777777777</v>
      </c>
    </row>
    <row r="11" spans="1:8" s="225" customFormat="1" ht="9.75" customHeight="1">
      <c r="A11" s="1554">
        <v>2013</v>
      </c>
      <c r="B11" s="942">
        <v>5375</v>
      </c>
      <c r="C11" s="942">
        <v>12500</v>
      </c>
      <c r="D11" s="810">
        <v>37.041666666666664</v>
      </c>
      <c r="E11" s="942">
        <v>51868.181818181816</v>
      </c>
      <c r="F11" s="810">
        <v>199.83166666666662</v>
      </c>
      <c r="G11" s="942">
        <v>680</v>
      </c>
      <c r="H11" s="942">
        <v>79.833333333333329</v>
      </c>
    </row>
    <row r="12" spans="1:8" s="225" customFormat="1" ht="9.75" customHeight="1">
      <c r="A12" s="937">
        <v>2014</v>
      </c>
      <c r="B12" s="941">
        <v>5375</v>
      </c>
      <c r="C12" s="941">
        <v>12500</v>
      </c>
      <c r="D12" s="745">
        <v>40</v>
      </c>
      <c r="E12" s="941">
        <v>48600</v>
      </c>
      <c r="F12" s="745">
        <v>185.97166666666666</v>
      </c>
      <c r="G12" s="941">
        <v>1078.75</v>
      </c>
      <c r="H12" s="941">
        <v>109.33333333333333</v>
      </c>
    </row>
    <row r="13" spans="1:8" s="225" customFormat="1" ht="9.75" customHeight="1">
      <c r="A13" s="939">
        <v>2015</v>
      </c>
      <c r="B13" s="942">
        <v>5770.833333333333</v>
      </c>
      <c r="C13" s="942">
        <v>13650</v>
      </c>
      <c r="D13" s="810">
        <v>37.666666666666664</v>
      </c>
      <c r="E13" s="942">
        <v>44166.666666666664</v>
      </c>
      <c r="F13" s="810">
        <v>166.07666666666668</v>
      </c>
      <c r="G13" s="942">
        <v>1287.5</v>
      </c>
      <c r="H13" s="942">
        <v>96.416666666666671</v>
      </c>
    </row>
    <row r="14" spans="1:8" s="953" customFormat="1" ht="9.75" customHeight="1">
      <c r="A14" s="937">
        <v>2016</v>
      </c>
      <c r="B14" s="892">
        <v>6375</v>
      </c>
      <c r="C14" s="892">
        <v>15100</v>
      </c>
      <c r="D14" s="745">
        <v>38.416666666666664</v>
      </c>
      <c r="E14" s="941">
        <v>44000</v>
      </c>
      <c r="F14" s="745">
        <v>161.27999999999997</v>
      </c>
      <c r="G14" s="941">
        <v>1009.1666666666666</v>
      </c>
      <c r="H14" s="941">
        <v>87</v>
      </c>
    </row>
    <row r="15" spans="1:8" s="953" customFormat="1" ht="9.75" customHeight="1">
      <c r="A15" s="939">
        <v>2017</v>
      </c>
      <c r="B15" s="876">
        <v>6375</v>
      </c>
      <c r="C15" s="876">
        <v>15100</v>
      </c>
      <c r="D15" s="810">
        <v>45.166666666666664</v>
      </c>
      <c r="E15" s="942">
        <v>43173.333333333336</v>
      </c>
      <c r="F15" s="810">
        <v>164.67</v>
      </c>
      <c r="G15" s="942">
        <v>778.75</v>
      </c>
      <c r="H15" s="942">
        <v>67.666666666666671</v>
      </c>
    </row>
    <row r="16" spans="1:8" s="953" customFormat="1" ht="9.75" customHeight="1">
      <c r="A16" s="937">
        <v>2018</v>
      </c>
      <c r="B16" s="892">
        <v>6375</v>
      </c>
      <c r="C16" s="892">
        <v>15100</v>
      </c>
      <c r="D16" s="745">
        <v>44.666666666666664</v>
      </c>
      <c r="E16" s="941">
        <v>41401.666666666664</v>
      </c>
      <c r="F16" s="745">
        <v>171.87749999999997</v>
      </c>
      <c r="G16" s="941">
        <v>690.83333333333337</v>
      </c>
      <c r="H16" s="941">
        <v>59.166666666666664</v>
      </c>
    </row>
    <row r="17" spans="1:8" s="276" customFormat="1" ht="9.75" customHeight="1">
      <c r="A17" s="1531">
        <v>2019</v>
      </c>
      <c r="B17" s="946">
        <v>6385.416666666667</v>
      </c>
      <c r="C17" s="946">
        <v>15125</v>
      </c>
      <c r="D17" s="945">
        <v>35.583333333333336</v>
      </c>
      <c r="E17" s="946">
        <v>41673.333333333336</v>
      </c>
      <c r="F17" s="945">
        <v>172.48000000000002</v>
      </c>
      <c r="G17" s="946">
        <v>500.33333333333331</v>
      </c>
      <c r="H17" s="946">
        <v>45.75</v>
      </c>
    </row>
    <row r="18" spans="1:8" s="276" customFormat="1" ht="9.75" customHeight="1">
      <c r="A18" s="1532">
        <v>2020</v>
      </c>
      <c r="B18" s="944">
        <v>6677.083333333333</v>
      </c>
      <c r="C18" s="944">
        <v>15812.5</v>
      </c>
      <c r="D18" s="943">
        <v>43.75</v>
      </c>
      <c r="E18" s="944">
        <v>66450.416666666672</v>
      </c>
      <c r="F18" s="943">
        <v>180.03</v>
      </c>
      <c r="G18" s="944">
        <v>299.75</v>
      </c>
      <c r="H18" s="944">
        <v>22.75</v>
      </c>
    </row>
    <row r="19" spans="1:8" s="276" customFormat="1" ht="9.75" customHeight="1">
      <c r="A19" s="1531">
        <v>2021</v>
      </c>
      <c r="B19" s="1226">
        <f>AVERAGE(B20:B31)</f>
        <v>14750</v>
      </c>
      <c r="C19" s="1226">
        <f t="shared" ref="C19:D19" si="0">AVERAGE(C20:C31)</f>
        <v>31700</v>
      </c>
      <c r="D19" s="945">
        <f t="shared" si="0"/>
        <v>52</v>
      </c>
      <c r="E19" s="946">
        <f>AVERAGE(E20:E31)</f>
        <v>64838.400000000001</v>
      </c>
      <c r="F19" s="945">
        <f>AVERAGE(F20:F31)</f>
        <v>212.56583333333336</v>
      </c>
      <c r="G19" s="946">
        <f t="shared" ref="G19:H19" si="1">AVERAGE(G20:G31)</f>
        <v>311.5</v>
      </c>
      <c r="H19" s="946">
        <f t="shared" si="1"/>
        <v>26.75</v>
      </c>
    </row>
    <row r="20" spans="1:8" s="276" customFormat="1" ht="9.75" customHeight="1">
      <c r="A20" s="1530" t="s">
        <v>580</v>
      </c>
      <c r="B20" s="892">
        <v>14750</v>
      </c>
      <c r="C20" s="892">
        <v>31700</v>
      </c>
      <c r="D20" s="745">
        <v>49</v>
      </c>
      <c r="E20" s="892">
        <v>65020</v>
      </c>
      <c r="F20" s="947">
        <v>182.27</v>
      </c>
      <c r="G20" s="962">
        <v>281</v>
      </c>
      <c r="H20" s="962">
        <v>23</v>
      </c>
    </row>
    <row r="21" spans="1:8" s="276" customFormat="1" ht="9.75" customHeight="1">
      <c r="A21" s="1529" t="s">
        <v>581</v>
      </c>
      <c r="B21" s="876">
        <v>14750</v>
      </c>
      <c r="C21" s="876">
        <v>31700</v>
      </c>
      <c r="D21" s="810">
        <v>50</v>
      </c>
      <c r="E21" s="876">
        <v>65031</v>
      </c>
      <c r="F21" s="948">
        <v>184.75</v>
      </c>
      <c r="G21" s="961">
        <v>282</v>
      </c>
      <c r="H21" s="961">
        <v>30</v>
      </c>
    </row>
    <row r="22" spans="1:8" s="276" customFormat="1" ht="9.75" customHeight="1">
      <c r="A22" s="1530" t="s">
        <v>573</v>
      </c>
      <c r="B22" s="892">
        <v>14750</v>
      </c>
      <c r="C22" s="892">
        <v>31700</v>
      </c>
      <c r="D22" s="745">
        <v>52</v>
      </c>
      <c r="E22" s="941">
        <v>65042.2</v>
      </c>
      <c r="F22" s="947">
        <v>198.67</v>
      </c>
      <c r="G22" s="962">
        <v>283</v>
      </c>
      <c r="H22" s="962">
        <v>31</v>
      </c>
    </row>
    <row r="23" spans="1:8" s="276" customFormat="1" ht="9.75" customHeight="1">
      <c r="A23" s="1529" t="s">
        <v>582</v>
      </c>
      <c r="B23" s="876">
        <v>14750</v>
      </c>
      <c r="C23" s="876">
        <v>31700</v>
      </c>
      <c r="D23" s="810">
        <v>51</v>
      </c>
      <c r="E23" s="942">
        <v>65050.2</v>
      </c>
      <c r="F23" s="948">
        <v>212.08</v>
      </c>
      <c r="G23" s="961">
        <v>283</v>
      </c>
      <c r="H23" s="961">
        <v>31</v>
      </c>
    </row>
    <row r="24" spans="1:8" s="276" customFormat="1" ht="9.75" customHeight="1">
      <c r="A24" s="1530" t="s">
        <v>583</v>
      </c>
      <c r="B24" s="892">
        <v>14750</v>
      </c>
      <c r="C24" s="892">
        <v>31700</v>
      </c>
      <c r="D24" s="745">
        <v>50</v>
      </c>
      <c r="E24" s="941">
        <v>65059.7</v>
      </c>
      <c r="F24" s="947">
        <v>205.03</v>
      </c>
      <c r="G24" s="962">
        <v>283</v>
      </c>
      <c r="H24" s="962">
        <v>31</v>
      </c>
    </row>
    <row r="25" spans="1:8" s="276" customFormat="1" ht="9.75" customHeight="1">
      <c r="A25" s="1529" t="s">
        <v>574</v>
      </c>
      <c r="B25" s="876">
        <v>14750</v>
      </c>
      <c r="C25" s="876">
        <v>31700</v>
      </c>
      <c r="D25" s="810">
        <v>50</v>
      </c>
      <c r="E25" s="942">
        <v>65021.7</v>
      </c>
      <c r="F25" s="948">
        <v>220.39</v>
      </c>
      <c r="G25" s="961">
        <v>281</v>
      </c>
      <c r="H25" s="961">
        <v>30</v>
      </c>
    </row>
    <row r="26" spans="1:8" s="276" customFormat="1" ht="9.75" customHeight="1">
      <c r="A26" s="1530" t="s">
        <v>576</v>
      </c>
      <c r="B26" s="892">
        <v>14750</v>
      </c>
      <c r="C26" s="892">
        <v>31700</v>
      </c>
      <c r="D26" s="745">
        <v>51</v>
      </c>
      <c r="E26" s="892">
        <v>64906</v>
      </c>
      <c r="F26" s="947">
        <v>251.07</v>
      </c>
      <c r="G26" s="962">
        <v>279</v>
      </c>
      <c r="H26" s="962">
        <v>26</v>
      </c>
    </row>
    <row r="27" spans="1:8" s="276" customFormat="1" ht="9.75" customHeight="1">
      <c r="A27" s="1529" t="s">
        <v>577</v>
      </c>
      <c r="B27" s="876">
        <v>14750</v>
      </c>
      <c r="C27" s="876">
        <v>31700</v>
      </c>
      <c r="D27" s="810">
        <v>52</v>
      </c>
      <c r="E27" s="876">
        <v>64906</v>
      </c>
      <c r="F27" s="948">
        <v>219.43</v>
      </c>
      <c r="G27" s="961">
        <v>310</v>
      </c>
      <c r="H27" s="961">
        <v>25</v>
      </c>
    </row>
    <row r="28" spans="1:8" s="276" customFormat="1" ht="9.75" customHeight="1">
      <c r="A28" s="1530" t="s">
        <v>571</v>
      </c>
      <c r="B28" s="892">
        <v>14750</v>
      </c>
      <c r="C28" s="892">
        <v>31700</v>
      </c>
      <c r="D28" s="745">
        <v>51</v>
      </c>
      <c r="E28" s="892">
        <v>64506</v>
      </c>
      <c r="F28" s="947">
        <v>241.38</v>
      </c>
      <c r="G28" s="962">
        <v>355</v>
      </c>
      <c r="H28" s="962">
        <v>22</v>
      </c>
    </row>
    <row r="29" spans="1:8" s="276" customFormat="1" ht="9.75" customHeight="1">
      <c r="A29" s="1529" t="s">
        <v>578</v>
      </c>
      <c r="B29" s="876">
        <v>14750</v>
      </c>
      <c r="C29" s="876">
        <v>31700</v>
      </c>
      <c r="D29" s="810">
        <v>50</v>
      </c>
      <c r="E29" s="876">
        <v>64506</v>
      </c>
      <c r="F29" s="948">
        <v>213.59</v>
      </c>
      <c r="G29" s="961">
        <v>367</v>
      </c>
      <c r="H29" s="961">
        <v>22</v>
      </c>
    </row>
    <row r="30" spans="1:8" s="276" customFormat="1" ht="9.75" customHeight="1">
      <c r="A30" s="1530" t="s">
        <v>579</v>
      </c>
      <c r="B30" s="892">
        <v>14750</v>
      </c>
      <c r="C30" s="892">
        <v>31700</v>
      </c>
      <c r="D30" s="745">
        <v>50</v>
      </c>
      <c r="E30" s="892">
        <v>64506</v>
      </c>
      <c r="F30" s="947">
        <v>217.17</v>
      </c>
      <c r="G30" s="962">
        <v>367</v>
      </c>
      <c r="H30" s="962">
        <v>22</v>
      </c>
    </row>
    <row r="31" spans="1:8" s="276" customFormat="1" ht="9.75" customHeight="1">
      <c r="A31" s="1529" t="s">
        <v>572</v>
      </c>
      <c r="B31" s="876">
        <v>14750</v>
      </c>
      <c r="C31" s="876">
        <v>31700</v>
      </c>
      <c r="D31" s="810">
        <v>68</v>
      </c>
      <c r="E31" s="876">
        <v>64506</v>
      </c>
      <c r="F31" s="948">
        <v>204.96</v>
      </c>
      <c r="G31" s="961">
        <v>367</v>
      </c>
      <c r="H31" s="961">
        <v>28</v>
      </c>
    </row>
    <row r="32" spans="1:8" s="276" customFormat="1" ht="9.75" customHeight="1">
      <c r="A32" s="1532">
        <v>2022</v>
      </c>
      <c r="B32" s="944">
        <f>AVERAGE(B33:B44)</f>
        <v>12208.333333333334</v>
      </c>
      <c r="C32" s="944">
        <f t="shared" ref="C32:H32" si="2">AVERAGE(C33:C44)</f>
        <v>26283.333333333332</v>
      </c>
      <c r="D32" s="943">
        <f t="shared" si="2"/>
        <v>52.916666666666664</v>
      </c>
      <c r="E32" s="944">
        <f>AVERAGE(E33:E44)</f>
        <v>68920.833333333328</v>
      </c>
      <c r="F32" s="943">
        <f t="shared" si="2"/>
        <v>224.35833333333335</v>
      </c>
      <c r="G32" s="944">
        <f t="shared" si="2"/>
        <v>449</v>
      </c>
      <c r="H32" s="944">
        <f t="shared" si="2"/>
        <v>25.166666666666668</v>
      </c>
    </row>
    <row r="33" spans="1:8" s="276" customFormat="1" ht="9.75" customHeight="1">
      <c r="A33" s="1529" t="s">
        <v>580</v>
      </c>
      <c r="B33" s="876">
        <v>14750</v>
      </c>
      <c r="C33" s="876">
        <v>31700</v>
      </c>
      <c r="D33" s="810">
        <v>49</v>
      </c>
      <c r="E33" s="876">
        <v>65700</v>
      </c>
      <c r="F33" s="948">
        <v>212.57</v>
      </c>
      <c r="G33" s="961">
        <v>367</v>
      </c>
      <c r="H33" s="961">
        <v>29</v>
      </c>
    </row>
    <row r="34" spans="1:8" s="276" customFormat="1" ht="9.75" customHeight="1">
      <c r="A34" s="1530" t="s">
        <v>581</v>
      </c>
      <c r="B34" s="892">
        <v>14750</v>
      </c>
      <c r="C34" s="892">
        <v>31700</v>
      </c>
      <c r="D34" s="745">
        <v>50</v>
      </c>
      <c r="E34" s="892">
        <v>65700</v>
      </c>
      <c r="F34" s="947">
        <v>196.56</v>
      </c>
      <c r="G34" s="962">
        <v>404</v>
      </c>
      <c r="H34" s="962">
        <v>29</v>
      </c>
    </row>
    <row r="35" spans="1:8" s="276" customFormat="1" ht="9.75" customHeight="1">
      <c r="A35" s="1529" t="s">
        <v>573</v>
      </c>
      <c r="B35" s="876">
        <v>11700</v>
      </c>
      <c r="C35" s="876">
        <v>25200</v>
      </c>
      <c r="D35" s="810">
        <v>50</v>
      </c>
      <c r="E35" s="876">
        <v>66100</v>
      </c>
      <c r="F35" s="948">
        <v>213.26</v>
      </c>
      <c r="G35" s="961">
        <v>497</v>
      </c>
      <c r="H35" s="961">
        <v>29</v>
      </c>
    </row>
    <row r="36" spans="1:8" s="276" customFormat="1" ht="9.75" customHeight="1">
      <c r="A36" s="1530" t="s">
        <v>582</v>
      </c>
      <c r="B36" s="892">
        <v>11700</v>
      </c>
      <c r="C36" s="892">
        <v>25200</v>
      </c>
      <c r="D36" s="745">
        <v>50</v>
      </c>
      <c r="E36" s="892">
        <v>66600</v>
      </c>
      <c r="F36" s="947">
        <v>237.59</v>
      </c>
      <c r="G36" s="962">
        <v>500</v>
      </c>
      <c r="H36" s="962">
        <v>29</v>
      </c>
    </row>
    <row r="37" spans="1:8" s="276" customFormat="1" ht="9.75" customHeight="1">
      <c r="A37" s="1529" t="s">
        <v>583</v>
      </c>
      <c r="B37" s="876">
        <v>11700</v>
      </c>
      <c r="C37" s="876">
        <v>25200</v>
      </c>
      <c r="D37" s="810">
        <v>50</v>
      </c>
      <c r="E37" s="876">
        <v>70700</v>
      </c>
      <c r="F37" s="948">
        <v>224.68</v>
      </c>
      <c r="G37" s="961">
        <v>463</v>
      </c>
      <c r="H37" s="961">
        <v>29</v>
      </c>
    </row>
    <row r="38" spans="1:8" s="276" customFormat="1" ht="9.75" customHeight="1">
      <c r="A38" s="1530" t="s">
        <v>574</v>
      </c>
      <c r="B38" s="892">
        <v>11700</v>
      </c>
      <c r="C38" s="892">
        <v>25200</v>
      </c>
      <c r="D38" s="745">
        <v>53</v>
      </c>
      <c r="E38" s="892">
        <v>68200</v>
      </c>
      <c r="F38" s="947">
        <v>195.53</v>
      </c>
      <c r="G38" s="962">
        <v>433</v>
      </c>
      <c r="H38" s="962">
        <v>25</v>
      </c>
    </row>
    <row r="39" spans="1:8" s="276" customFormat="1" ht="9.75" customHeight="1">
      <c r="A39" s="1529" t="s">
        <v>576</v>
      </c>
      <c r="B39" s="876">
        <v>11700</v>
      </c>
      <c r="C39" s="876">
        <v>25200</v>
      </c>
      <c r="D39" s="810">
        <v>54</v>
      </c>
      <c r="E39" s="876">
        <v>66200</v>
      </c>
      <c r="F39" s="948">
        <v>240.3</v>
      </c>
      <c r="G39" s="961">
        <v>454</v>
      </c>
      <c r="H39" s="961">
        <v>31</v>
      </c>
    </row>
    <row r="40" spans="1:8" s="276" customFormat="1" ht="9.75" customHeight="1">
      <c r="A40" s="1530" t="s">
        <v>577</v>
      </c>
      <c r="B40" s="892">
        <v>11700</v>
      </c>
      <c r="C40" s="892">
        <v>25200</v>
      </c>
      <c r="D40" s="745">
        <v>55</v>
      </c>
      <c r="E40" s="892">
        <v>72300</v>
      </c>
      <c r="F40" s="947">
        <v>281</v>
      </c>
      <c r="G40" s="962">
        <v>470</v>
      </c>
      <c r="H40" s="962">
        <v>21</v>
      </c>
    </row>
    <row r="41" spans="1:8" s="276" customFormat="1" ht="9.75" customHeight="1">
      <c r="A41" s="1529" t="s">
        <v>571</v>
      </c>
      <c r="B41" s="876">
        <v>11700</v>
      </c>
      <c r="C41" s="876">
        <v>25200</v>
      </c>
      <c r="D41" s="810">
        <v>56</v>
      </c>
      <c r="E41" s="876">
        <v>70600</v>
      </c>
      <c r="F41" s="948">
        <v>221.89</v>
      </c>
      <c r="G41" s="961">
        <v>450</v>
      </c>
      <c r="H41" s="961">
        <v>21</v>
      </c>
    </row>
    <row r="42" spans="1:8" s="276" customFormat="1" ht="9.75" customHeight="1">
      <c r="A42" s="1530" t="s">
        <v>578</v>
      </c>
      <c r="B42" s="892">
        <v>11700</v>
      </c>
      <c r="C42" s="892">
        <v>25200</v>
      </c>
      <c r="D42" s="745">
        <v>56</v>
      </c>
      <c r="E42" s="892">
        <v>68700</v>
      </c>
      <c r="F42" s="947">
        <v>225.08</v>
      </c>
      <c r="G42" s="962">
        <v>450</v>
      </c>
      <c r="H42" s="962">
        <v>21</v>
      </c>
    </row>
    <row r="43" spans="1:8" s="276" customFormat="1" ht="9.75" customHeight="1">
      <c r="A43" s="1529" t="s">
        <v>579</v>
      </c>
      <c r="B43" s="876">
        <v>11700</v>
      </c>
      <c r="C43" s="876">
        <v>25200</v>
      </c>
      <c r="D43" s="810">
        <v>56</v>
      </c>
      <c r="E43" s="876">
        <v>71450</v>
      </c>
      <c r="F43" s="948">
        <v>230.76</v>
      </c>
      <c r="G43" s="961">
        <v>450</v>
      </c>
      <c r="H43" s="961">
        <v>19</v>
      </c>
    </row>
    <row r="44" spans="1:8" s="276" customFormat="1" ht="9.75" customHeight="1">
      <c r="A44" s="1530" t="s">
        <v>572</v>
      </c>
      <c r="B44" s="892">
        <v>11700</v>
      </c>
      <c r="C44" s="892">
        <v>25200</v>
      </c>
      <c r="D44" s="745">
        <v>56</v>
      </c>
      <c r="E44" s="892">
        <v>74800</v>
      </c>
      <c r="F44" s="947">
        <v>213.08</v>
      </c>
      <c r="G44" s="962">
        <v>450</v>
      </c>
      <c r="H44" s="962">
        <v>19</v>
      </c>
    </row>
    <row r="45" spans="1:8" s="276" customFormat="1" ht="9.75" customHeight="1">
      <c r="A45" s="1531">
        <v>2023</v>
      </c>
      <c r="B45" s="1226">
        <f>AVERAGE(B46:B57)</f>
        <v>11700</v>
      </c>
      <c r="C45" s="1226">
        <f t="shared" ref="C45" si="3">AVERAGE(C46:C57)</f>
        <v>24975</v>
      </c>
      <c r="D45" s="945">
        <f t="shared" ref="C45:D45" si="4">AVERAGE(D46:D57)</f>
        <v>54.5</v>
      </c>
      <c r="E45" s="946">
        <f>AVERAGE(E46:E57)</f>
        <v>84539.166666666672</v>
      </c>
      <c r="F45" s="945">
        <f>AVERAGE(F46:F57)</f>
        <v>202.33083333333335</v>
      </c>
      <c r="G45" s="946">
        <f t="shared" ref="G45:H45" si="5">AVERAGE(G46:G57)</f>
        <v>531.41666666666663</v>
      </c>
      <c r="H45" s="946">
        <f t="shared" si="5"/>
        <v>34.5</v>
      </c>
    </row>
    <row r="46" spans="1:8" s="276" customFormat="1" ht="9.75" customHeight="1">
      <c r="A46" s="1530" t="s">
        <v>580</v>
      </c>
      <c r="B46" s="892">
        <v>11700</v>
      </c>
      <c r="C46" s="892">
        <v>25200</v>
      </c>
      <c r="D46" s="745">
        <v>54</v>
      </c>
      <c r="E46" s="892">
        <v>80100</v>
      </c>
      <c r="F46" s="947">
        <v>206.95</v>
      </c>
      <c r="G46" s="962">
        <v>450</v>
      </c>
      <c r="H46" s="962">
        <v>17</v>
      </c>
    </row>
    <row r="47" spans="1:8" s="276" customFormat="1" ht="9.75" customHeight="1">
      <c r="A47" s="1529" t="s">
        <v>581</v>
      </c>
      <c r="B47" s="876">
        <v>11700</v>
      </c>
      <c r="C47" s="876">
        <v>25200</v>
      </c>
      <c r="D47" s="810">
        <v>55</v>
      </c>
      <c r="E47" s="876">
        <v>79100</v>
      </c>
      <c r="F47" s="948">
        <v>203.04</v>
      </c>
      <c r="G47" s="961">
        <v>466</v>
      </c>
      <c r="H47" s="961">
        <v>21</v>
      </c>
    </row>
    <row r="48" spans="1:8" s="276" customFormat="1" ht="9.75" customHeight="1">
      <c r="A48" s="1530" t="s">
        <v>573</v>
      </c>
      <c r="B48" s="892">
        <v>11700</v>
      </c>
      <c r="C48" s="892">
        <v>25200</v>
      </c>
      <c r="D48" s="745">
        <v>55</v>
      </c>
      <c r="E48" s="892">
        <v>82700</v>
      </c>
      <c r="F48" s="947">
        <v>209.53</v>
      </c>
      <c r="G48" s="962">
        <v>484</v>
      </c>
      <c r="H48" s="962">
        <v>22</v>
      </c>
    </row>
    <row r="49" spans="1:8" s="276" customFormat="1" ht="9.75" customHeight="1">
      <c r="A49" s="1529" t="s">
        <v>582</v>
      </c>
      <c r="B49" s="876">
        <v>11700</v>
      </c>
      <c r="C49" s="876">
        <v>25200</v>
      </c>
      <c r="D49" s="810">
        <v>55</v>
      </c>
      <c r="E49" s="876">
        <v>82700</v>
      </c>
      <c r="F49" s="948">
        <v>199.24</v>
      </c>
      <c r="G49" s="961">
        <v>481</v>
      </c>
      <c r="H49" s="961">
        <v>20</v>
      </c>
    </row>
    <row r="50" spans="1:8" s="276" customFormat="1" ht="9.75" customHeight="1">
      <c r="A50" s="1530" t="s">
        <v>583</v>
      </c>
      <c r="B50" s="892">
        <v>11700</v>
      </c>
      <c r="C50" s="892">
        <v>25200</v>
      </c>
      <c r="D50" s="745">
        <v>54</v>
      </c>
      <c r="E50" s="892">
        <v>84400</v>
      </c>
      <c r="F50" s="947">
        <v>202.63</v>
      </c>
      <c r="G50" s="962">
        <v>483</v>
      </c>
      <c r="H50" s="962">
        <v>21</v>
      </c>
    </row>
    <row r="51" spans="1:8" s="276" customFormat="1" ht="9.75" customHeight="1">
      <c r="A51" s="1529" t="s">
        <v>574</v>
      </c>
      <c r="B51" s="876">
        <v>11700</v>
      </c>
      <c r="C51" s="876">
        <v>25200</v>
      </c>
      <c r="D51" s="810">
        <v>54</v>
      </c>
      <c r="E51" s="876">
        <v>84400</v>
      </c>
      <c r="F51" s="948">
        <v>211.93</v>
      </c>
      <c r="G51" s="961">
        <v>468</v>
      </c>
      <c r="H51" s="961">
        <v>21</v>
      </c>
    </row>
    <row r="52" spans="1:8" s="276" customFormat="1" ht="9.75" customHeight="1">
      <c r="A52" s="1530" t="s">
        <v>576</v>
      </c>
      <c r="B52" s="892">
        <v>11700</v>
      </c>
      <c r="C52" s="892">
        <v>25200</v>
      </c>
      <c r="D52" s="745">
        <v>54</v>
      </c>
      <c r="E52" s="892">
        <v>86400</v>
      </c>
      <c r="F52" s="947">
        <v>208.59</v>
      </c>
      <c r="G52" s="962">
        <v>550</v>
      </c>
      <c r="H52" s="962">
        <v>22</v>
      </c>
    </row>
    <row r="53" spans="1:8" s="276" customFormat="1" ht="9.75" customHeight="1">
      <c r="A53" s="1529" t="s">
        <v>577</v>
      </c>
      <c r="B53" s="876">
        <v>11700</v>
      </c>
      <c r="C53" s="876">
        <v>25200</v>
      </c>
      <c r="D53" s="810">
        <v>55</v>
      </c>
      <c r="E53" s="876">
        <v>87500</v>
      </c>
      <c r="F53" s="948">
        <v>193.48</v>
      </c>
      <c r="G53" s="961">
        <v>543</v>
      </c>
      <c r="H53" s="961">
        <v>21</v>
      </c>
    </row>
    <row r="54" spans="1:8" s="276" customFormat="1" ht="9.75" customHeight="1">
      <c r="A54" s="1530" t="s">
        <v>571</v>
      </c>
      <c r="B54" s="892">
        <v>11700</v>
      </c>
      <c r="C54" s="892">
        <v>25200</v>
      </c>
      <c r="D54" s="745">
        <v>55</v>
      </c>
      <c r="E54" s="892">
        <v>86620</v>
      </c>
      <c r="F54" s="947">
        <v>171.91</v>
      </c>
      <c r="G54" s="962">
        <v>591</v>
      </c>
      <c r="H54" s="962">
        <v>73</v>
      </c>
    </row>
    <row r="55" spans="1:8" s="276" customFormat="1" ht="9.75" customHeight="1">
      <c r="A55" s="1529" t="s">
        <v>578</v>
      </c>
      <c r="B55" s="876">
        <v>11700</v>
      </c>
      <c r="C55" s="876">
        <v>22500</v>
      </c>
      <c r="D55" s="810">
        <v>55</v>
      </c>
      <c r="E55" s="876">
        <v>86700</v>
      </c>
      <c r="F55" s="948">
        <v>203.5</v>
      </c>
      <c r="G55" s="961">
        <v>612</v>
      </c>
      <c r="H55" s="961">
        <v>78</v>
      </c>
    </row>
    <row r="56" spans="1:8" s="276" customFormat="1" ht="9.75" customHeight="1">
      <c r="A56" s="1530" t="s">
        <v>579</v>
      </c>
      <c r="B56" s="892">
        <v>11700</v>
      </c>
      <c r="C56" s="892">
        <v>25200</v>
      </c>
      <c r="D56" s="745">
        <v>55</v>
      </c>
      <c r="E56" s="892">
        <v>87000</v>
      </c>
      <c r="F56" s="947">
        <v>206</v>
      </c>
      <c r="G56" s="962">
        <v>618</v>
      </c>
      <c r="H56" s="962">
        <v>50</v>
      </c>
    </row>
    <row r="57" spans="1:8" s="276" customFormat="1" ht="9.75" customHeight="1" thickBot="1">
      <c r="A57" s="1768" t="s">
        <v>572</v>
      </c>
      <c r="B57" s="2551">
        <v>11700</v>
      </c>
      <c r="C57" s="2551">
        <v>25200</v>
      </c>
      <c r="D57" s="743">
        <v>53</v>
      </c>
      <c r="E57" s="801">
        <v>86850</v>
      </c>
      <c r="F57" s="1769">
        <v>211.17</v>
      </c>
      <c r="G57" s="1770">
        <v>631</v>
      </c>
      <c r="H57" s="1770">
        <v>48</v>
      </c>
    </row>
    <row r="58" spans="1:8" s="39" customFormat="1" ht="11.25" customHeight="1">
      <c r="A58" s="842" t="s">
        <v>1994</v>
      </c>
      <c r="B58" s="2231" t="s">
        <v>1311</v>
      </c>
      <c r="C58" s="2231"/>
      <c r="D58" s="2231"/>
      <c r="E58" s="2228" t="s">
        <v>2465</v>
      </c>
      <c r="F58" s="2228"/>
      <c r="G58" s="48"/>
      <c r="H58" s="48"/>
    </row>
    <row r="59" spans="1:8" s="39" customFormat="1" ht="8.25" customHeight="1">
      <c r="A59" s="43"/>
      <c r="B59" s="2227" t="s">
        <v>2466</v>
      </c>
      <c r="C59" s="2227"/>
      <c r="D59" s="2227"/>
      <c r="E59" s="2228" t="s">
        <v>2467</v>
      </c>
      <c r="F59" s="2228"/>
      <c r="G59" s="48"/>
      <c r="H59" s="39" t="s">
        <v>1447</v>
      </c>
    </row>
    <row r="60" spans="1:8" s="39" customFormat="1" ht="8.25">
      <c r="C60" s="140"/>
      <c r="D60" s="48"/>
      <c r="F60" s="48"/>
      <c r="G60" s="48"/>
      <c r="H60" s="48"/>
    </row>
    <row r="61" spans="1:8">
      <c r="A61" s="39"/>
      <c r="B61" s="1007"/>
      <c r="C61" s="39"/>
      <c r="D61" s="39"/>
      <c r="E61" s="39"/>
      <c r="F61" s="39"/>
      <c r="G61" s="39"/>
      <c r="H61" s="1008"/>
    </row>
  </sheetData>
  <mergeCells count="17">
    <mergeCell ref="E58:F58"/>
    <mergeCell ref="G1:H1"/>
    <mergeCell ref="G3:H3"/>
    <mergeCell ref="G4:G6"/>
    <mergeCell ref="H4:H6"/>
    <mergeCell ref="B59:D59"/>
    <mergeCell ref="E59:F59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8:D58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25" zoomScale="150" zoomScaleNormal="150" workbookViewId="0">
      <selection activeCell="A48" sqref="A48:XFD48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32" t="s">
        <v>1330</v>
      </c>
      <c r="E1" s="2232"/>
      <c r="F1" s="2232"/>
      <c r="G1" s="2232"/>
      <c r="H1" s="2232"/>
      <c r="I1" s="2232"/>
      <c r="J1" s="2232"/>
      <c r="K1" s="2239" t="s">
        <v>2481</v>
      </c>
      <c r="L1" s="2239"/>
      <c r="M1" s="2239"/>
      <c r="N1" s="2239"/>
      <c r="O1" s="2239"/>
      <c r="P1" s="2239"/>
      <c r="Q1" s="1538" t="s">
        <v>1138</v>
      </c>
    </row>
    <row r="2" spans="1:17" s="21" customFormat="1" ht="11.25" customHeight="1">
      <c r="B2" s="1056"/>
      <c r="F2" s="1056"/>
      <c r="G2" s="2238"/>
      <c r="H2" s="2238"/>
      <c r="I2" s="2238"/>
      <c r="J2" s="2238"/>
      <c r="K2" s="1488"/>
      <c r="L2" s="1056"/>
      <c r="M2" s="1056"/>
      <c r="N2" s="1056"/>
      <c r="O2" s="1056"/>
      <c r="P2" s="1056"/>
      <c r="Q2" s="1056"/>
    </row>
    <row r="3" spans="1:17" s="82" customFormat="1" ht="12" customHeight="1">
      <c r="A3" s="2236" t="s">
        <v>498</v>
      </c>
      <c r="B3" s="1481" t="s">
        <v>517</v>
      </c>
      <c r="C3" s="2194" t="s">
        <v>519</v>
      </c>
      <c r="D3" s="2235"/>
      <c r="E3" s="1481" t="s">
        <v>517</v>
      </c>
      <c r="F3" s="2194" t="s">
        <v>92</v>
      </c>
      <c r="G3" s="2235"/>
      <c r="H3" s="1481" t="s">
        <v>517</v>
      </c>
      <c r="I3" s="2194" t="s">
        <v>93</v>
      </c>
      <c r="J3" s="2235"/>
      <c r="K3" s="2194" t="s">
        <v>185</v>
      </c>
      <c r="L3" s="2240"/>
      <c r="M3" s="2240"/>
      <c r="N3" s="2240"/>
      <c r="O3" s="2240"/>
      <c r="P3" s="2240"/>
      <c r="Q3" s="2235"/>
    </row>
    <row r="4" spans="1:17" s="82" customFormat="1" ht="12.75" customHeight="1">
      <c r="A4" s="2188"/>
      <c r="B4" s="2248" t="s">
        <v>518</v>
      </c>
      <c r="C4" s="2237" t="s">
        <v>94</v>
      </c>
      <c r="D4" s="2233" t="s">
        <v>95</v>
      </c>
      <c r="E4" s="2237" t="s">
        <v>515</v>
      </c>
      <c r="F4" s="2233" t="s">
        <v>94</v>
      </c>
      <c r="G4" s="2237" t="s">
        <v>95</v>
      </c>
      <c r="H4" s="2233" t="s">
        <v>263</v>
      </c>
      <c r="I4" s="2237" t="s">
        <v>110</v>
      </c>
      <c r="J4" s="2237" t="s">
        <v>95</v>
      </c>
      <c r="K4" s="2236" t="s">
        <v>19</v>
      </c>
      <c r="L4" s="2243" t="s">
        <v>20</v>
      </c>
      <c r="M4" s="2241" t="s">
        <v>914</v>
      </c>
      <c r="N4" s="2241" t="s">
        <v>1331</v>
      </c>
      <c r="O4" s="2241" t="s">
        <v>264</v>
      </c>
      <c r="P4" s="2242" t="s">
        <v>265</v>
      </c>
      <c r="Q4" s="2241" t="s">
        <v>915</v>
      </c>
    </row>
    <row r="5" spans="1:17" s="82" customFormat="1" ht="24.75" customHeight="1">
      <c r="A5" s="2188"/>
      <c r="B5" s="2249"/>
      <c r="C5" s="2237"/>
      <c r="D5" s="2234"/>
      <c r="E5" s="2237"/>
      <c r="F5" s="2234"/>
      <c r="G5" s="2237"/>
      <c r="H5" s="2234"/>
      <c r="I5" s="2237"/>
      <c r="J5" s="2237"/>
      <c r="K5" s="2189"/>
      <c r="L5" s="2243"/>
      <c r="M5" s="2241"/>
      <c r="N5" s="2241"/>
      <c r="O5" s="2241"/>
      <c r="P5" s="2242"/>
      <c r="Q5" s="2241"/>
    </row>
    <row r="6" spans="1:17" ht="11.1" customHeight="1">
      <c r="A6" s="87" t="s">
        <v>585</v>
      </c>
      <c r="B6" s="1478">
        <v>100</v>
      </c>
      <c r="C6" s="2246" t="s">
        <v>140</v>
      </c>
      <c r="D6" s="2247"/>
      <c r="E6" s="1478">
        <v>56.18</v>
      </c>
      <c r="F6" s="2245" t="s">
        <v>140</v>
      </c>
      <c r="G6" s="2245"/>
      <c r="H6" s="1478">
        <v>43.82</v>
      </c>
      <c r="I6" s="2245" t="s">
        <v>140</v>
      </c>
      <c r="J6" s="2245"/>
      <c r="K6" s="1478">
        <v>6.84</v>
      </c>
      <c r="L6" s="1478">
        <v>14.88</v>
      </c>
      <c r="M6" s="1478">
        <v>4.7300000000000004</v>
      </c>
      <c r="N6" s="1478">
        <v>3.47</v>
      </c>
      <c r="O6" s="1478">
        <v>5.8</v>
      </c>
      <c r="P6" s="1478">
        <v>4.28</v>
      </c>
      <c r="Q6" s="1478">
        <v>3.82</v>
      </c>
    </row>
    <row r="7" spans="1:17" s="286" customFormat="1" ht="11.85" customHeight="1">
      <c r="A7" s="1275" t="s">
        <v>866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19" t="s">
        <v>1051</v>
      </c>
      <c r="B8" s="315">
        <v>195.08250000000001</v>
      </c>
      <c r="C8" s="315">
        <v>6.97</v>
      </c>
      <c r="D8" s="315">
        <v>7.35</v>
      </c>
      <c r="E8" s="315">
        <v>209.79083333333335</v>
      </c>
      <c r="F8" s="315">
        <v>8</v>
      </c>
      <c r="G8" s="313">
        <v>8.57</v>
      </c>
      <c r="H8" s="315">
        <v>176.22416666666666</v>
      </c>
      <c r="I8" s="315">
        <v>5.45</v>
      </c>
      <c r="J8" s="315">
        <v>5.54</v>
      </c>
      <c r="K8" s="315">
        <v>194.76499999999999</v>
      </c>
      <c r="L8" s="315">
        <v>163.47083333333333</v>
      </c>
      <c r="M8" s="315">
        <v>206.13583333333338</v>
      </c>
      <c r="N8" s="315">
        <v>164.05583333333337</v>
      </c>
      <c r="O8" s="315">
        <v>167.20250000000001</v>
      </c>
      <c r="P8" s="315">
        <v>164.38166666666666</v>
      </c>
      <c r="Q8" s="315">
        <v>193.75416666666663</v>
      </c>
    </row>
    <row r="9" spans="1:17" s="286" customFormat="1" ht="11.85" customHeight="1">
      <c r="A9" s="265" t="s">
        <v>1105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41" t="s">
        <v>1231</v>
      </c>
      <c r="B10" s="315">
        <v>219.85833333333335</v>
      </c>
      <c r="C10" s="315">
        <v>5.53</v>
      </c>
      <c r="D10" s="315">
        <v>5.92</v>
      </c>
      <c r="E10" s="315">
        <v>234.77166666666668</v>
      </c>
      <c r="F10" s="315">
        <v>4.2300000000000004</v>
      </c>
      <c r="G10" s="315">
        <v>4.91</v>
      </c>
      <c r="H10" s="315">
        <v>200.73749999999998</v>
      </c>
      <c r="I10" s="315">
        <v>7.5</v>
      </c>
      <c r="J10" s="315">
        <v>7.47</v>
      </c>
      <c r="K10" s="315">
        <v>233.52</v>
      </c>
      <c r="L10" s="315">
        <v>182.75</v>
      </c>
      <c r="M10" s="315">
        <v>227.5325</v>
      </c>
      <c r="N10" s="315">
        <v>200.02916666666667</v>
      </c>
      <c r="O10" s="315">
        <v>201.59583333333333</v>
      </c>
      <c r="P10" s="315">
        <v>171.00583333333336</v>
      </c>
      <c r="Q10" s="315">
        <v>211.61166666666665</v>
      </c>
    </row>
    <row r="11" spans="1:17" s="286" customFormat="1" ht="11.85" customHeight="1">
      <c r="A11" s="265" t="s">
        <v>1274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86" customFormat="1" ht="11.85" customHeight="1">
      <c r="A12" s="341" t="s">
        <v>1392</v>
      </c>
      <c r="B12" s="315">
        <v>245.22416666666666</v>
      </c>
      <c r="C12" s="315">
        <v>5.54</v>
      </c>
      <c r="D12" s="315">
        <v>5.78</v>
      </c>
      <c r="E12" s="315">
        <v>266.63833333333332</v>
      </c>
      <c r="F12" s="315">
        <v>5.98</v>
      </c>
      <c r="G12" s="315">
        <v>7.13</v>
      </c>
      <c r="H12" s="315">
        <v>217.76500000000001</v>
      </c>
      <c r="I12" s="315">
        <v>4.87</v>
      </c>
      <c r="J12" s="315">
        <v>3.73</v>
      </c>
      <c r="K12" s="315">
        <v>255.23666666666665</v>
      </c>
      <c r="L12" s="315">
        <v>200.24833333333333</v>
      </c>
      <c r="M12" s="315">
        <v>249.67583333333332</v>
      </c>
      <c r="N12" s="315">
        <v>209.2775</v>
      </c>
      <c r="O12" s="315">
        <v>218.79666666666665</v>
      </c>
      <c r="P12" s="315">
        <v>183.64916666666667</v>
      </c>
      <c r="Q12" s="315">
        <v>223.80666666666664</v>
      </c>
    </row>
    <row r="13" spans="1:17" s="170" customFormat="1" ht="11.85" customHeight="1">
      <c r="A13" s="265" t="s">
        <v>1511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0" customFormat="1" ht="11.85" customHeight="1">
      <c r="A14" s="640" t="s">
        <v>1602</v>
      </c>
      <c r="B14" s="318">
        <v>273.25666666666666</v>
      </c>
      <c r="C14" s="318">
        <v>6.02</v>
      </c>
      <c r="D14" s="318">
        <v>5.6476114685594103</v>
      </c>
      <c r="E14" s="318">
        <v>296.85749999999996</v>
      </c>
      <c r="F14" s="318">
        <v>6.54</v>
      </c>
      <c r="G14" s="318">
        <v>5.5215069211378198</v>
      </c>
      <c r="H14" s="318">
        <v>242.9966666666667</v>
      </c>
      <c r="I14" s="318">
        <v>5.22</v>
      </c>
      <c r="J14" s="318">
        <v>5.8455417943171106</v>
      </c>
      <c r="K14" s="318">
        <v>290.00333333333339</v>
      </c>
      <c r="L14" s="318">
        <v>220.70083333333335</v>
      </c>
      <c r="M14" s="318">
        <v>282.67083333333329</v>
      </c>
      <c r="N14" s="318">
        <v>230.07166666666669</v>
      </c>
      <c r="O14" s="318">
        <v>248.48</v>
      </c>
      <c r="P14" s="318">
        <v>190.13000000000002</v>
      </c>
      <c r="Q14" s="318">
        <v>259.27083333333331</v>
      </c>
    </row>
    <row r="15" spans="1:17" s="170" customFormat="1" ht="11.85" customHeight="1">
      <c r="A15" s="105" t="s">
        <v>1668</v>
      </c>
      <c r="B15" s="149">
        <f>AVERAGE(B16:B27)</f>
        <v>288.44333333333333</v>
      </c>
      <c r="C15" s="149">
        <f>C27</f>
        <v>5.64</v>
      </c>
      <c r="D15" s="149">
        <f>D27</f>
        <v>5.5576564158239528</v>
      </c>
      <c r="E15" s="149">
        <f>AVERAGE(E16:E27)</f>
        <v>313.86333333333334</v>
      </c>
      <c r="F15" s="149">
        <f>F27</f>
        <v>5.45</v>
      </c>
      <c r="G15" s="149">
        <f>G27</f>
        <v>5.7286183887331088</v>
      </c>
      <c r="H15" s="149">
        <f>AVERAGE(H16:H27)</f>
        <v>255.85166666666666</v>
      </c>
      <c r="I15" s="149">
        <f>I27</f>
        <v>5.94</v>
      </c>
      <c r="J15" s="149">
        <f>J27</f>
        <v>5.2901960246368063</v>
      </c>
      <c r="K15" s="149">
        <f t="shared" ref="K15:Q15" si="0">AVERAGE(K16:K27)</f>
        <v>298.14083333333332</v>
      </c>
      <c r="L15" s="149">
        <f t="shared" si="0"/>
        <v>228.29250000000002</v>
      </c>
      <c r="M15" s="149">
        <f t="shared" si="0"/>
        <v>298.14833333333331</v>
      </c>
      <c r="N15" s="149">
        <f t="shared" si="0"/>
        <v>247.86333333333334</v>
      </c>
      <c r="O15" s="149">
        <f t="shared" si="0"/>
        <v>271.44833333333332</v>
      </c>
      <c r="P15" s="149">
        <f t="shared" si="0"/>
        <v>193.61083333333332</v>
      </c>
      <c r="Q15" s="149">
        <f t="shared" si="0"/>
        <v>288.52833333333336</v>
      </c>
    </row>
    <row r="16" spans="1:17" s="170" customFormat="1" ht="11.85" customHeight="1">
      <c r="A16" s="327" t="s">
        <v>576</v>
      </c>
      <c r="B16" s="309">
        <v>278.27</v>
      </c>
      <c r="C16" s="309">
        <v>5.53</v>
      </c>
      <c r="D16" s="310">
        <v>5.6394992671184641</v>
      </c>
      <c r="E16" s="310">
        <v>300.75</v>
      </c>
      <c r="F16" s="310">
        <v>5.7</v>
      </c>
      <c r="G16" s="310">
        <v>5.5442822929815838</v>
      </c>
      <c r="H16" s="310">
        <v>249.46</v>
      </c>
      <c r="I16" s="310">
        <v>5.28</v>
      </c>
      <c r="J16" s="310">
        <v>5.7893006672181668</v>
      </c>
      <c r="K16" s="310">
        <v>292.2</v>
      </c>
      <c r="L16" s="310">
        <v>227.57</v>
      </c>
      <c r="M16" s="310">
        <v>288.73</v>
      </c>
      <c r="N16" s="310">
        <v>240.64</v>
      </c>
      <c r="O16" s="310">
        <v>257.25</v>
      </c>
      <c r="P16" s="310">
        <v>190.98</v>
      </c>
      <c r="Q16" s="310">
        <v>271.37</v>
      </c>
    </row>
    <row r="17" spans="1:17" s="170" customFormat="1" ht="11.85" customHeight="1">
      <c r="A17" s="148" t="s">
        <v>577</v>
      </c>
      <c r="B17" s="267">
        <v>282.11</v>
      </c>
      <c r="C17" s="267">
        <v>5.68</v>
      </c>
      <c r="D17" s="268">
        <v>5.6547200899186079</v>
      </c>
      <c r="E17" s="268">
        <v>307.2</v>
      </c>
      <c r="F17" s="268">
        <v>6.08</v>
      </c>
      <c r="G17" s="268">
        <v>5.6114043048078877</v>
      </c>
      <c r="H17" s="268">
        <v>249.95</v>
      </c>
      <c r="I17" s="268">
        <v>5.05</v>
      </c>
      <c r="J17" s="268">
        <v>5.7235824973933092</v>
      </c>
      <c r="K17" s="268">
        <v>292.29000000000002</v>
      </c>
      <c r="L17" s="268">
        <v>227.6</v>
      </c>
      <c r="M17" s="268">
        <v>291.54000000000002</v>
      </c>
      <c r="N17" s="268">
        <v>240.81</v>
      </c>
      <c r="O17" s="268">
        <v>257.58999999999997</v>
      </c>
      <c r="P17" s="268">
        <v>191.01</v>
      </c>
      <c r="Q17" s="268">
        <v>272.54000000000002</v>
      </c>
    </row>
    <row r="18" spans="1:17" s="170" customFormat="1" ht="11.85" customHeight="1">
      <c r="A18" s="327" t="s">
        <v>571</v>
      </c>
      <c r="B18" s="309">
        <v>288.12</v>
      </c>
      <c r="C18" s="309">
        <v>5.97</v>
      </c>
      <c r="D18" s="310">
        <v>5.6907183725365407</v>
      </c>
      <c r="E18" s="310">
        <v>316.11</v>
      </c>
      <c r="F18" s="310">
        <v>6.5</v>
      </c>
      <c r="G18" s="310">
        <v>5.7140685033245875</v>
      </c>
      <c r="H18" s="310">
        <v>252.24</v>
      </c>
      <c r="I18" s="310">
        <v>5.12</v>
      </c>
      <c r="J18" s="310">
        <v>5.6553071506268981</v>
      </c>
      <c r="K18" s="310">
        <v>292.42</v>
      </c>
      <c r="L18" s="310">
        <v>227.99</v>
      </c>
      <c r="M18" s="310">
        <v>293.11</v>
      </c>
      <c r="N18" s="310">
        <v>246.45</v>
      </c>
      <c r="O18" s="310">
        <v>263.02</v>
      </c>
      <c r="P18" s="310">
        <v>191.79</v>
      </c>
      <c r="Q18" s="310">
        <v>280.87</v>
      </c>
    </row>
    <row r="19" spans="1:17" s="170" customFormat="1" ht="11.85" customHeight="1">
      <c r="A19" s="148" t="s">
        <v>578</v>
      </c>
      <c r="B19" s="267">
        <v>290.91000000000003</v>
      </c>
      <c r="C19" s="267">
        <v>6.44</v>
      </c>
      <c r="D19" s="268">
        <v>5.7740564589879639</v>
      </c>
      <c r="E19" s="268">
        <v>320.94</v>
      </c>
      <c r="F19" s="268">
        <v>7.34</v>
      </c>
      <c r="G19" s="268">
        <v>5.8744938917721701</v>
      </c>
      <c r="H19" s="268">
        <v>252.4</v>
      </c>
      <c r="I19" s="268">
        <v>5</v>
      </c>
      <c r="J19" s="268">
        <v>5.616036250418599</v>
      </c>
      <c r="K19" s="268">
        <v>292.57</v>
      </c>
      <c r="L19" s="268">
        <v>228.09</v>
      </c>
      <c r="M19" s="268">
        <v>293.35000000000002</v>
      </c>
      <c r="N19" s="268">
        <v>246.54</v>
      </c>
      <c r="O19" s="268">
        <v>263.41000000000003</v>
      </c>
      <c r="P19" s="268">
        <v>191.81</v>
      </c>
      <c r="Q19" s="268">
        <v>281.05</v>
      </c>
    </row>
    <row r="20" spans="1:17" s="170" customFormat="1" ht="11.85" customHeight="1">
      <c r="A20" s="327" t="s">
        <v>579</v>
      </c>
      <c r="B20" s="309">
        <v>288.70999999999998</v>
      </c>
      <c r="C20" s="309">
        <v>5.52</v>
      </c>
      <c r="D20" s="310">
        <v>5.7302638415250406</v>
      </c>
      <c r="E20" s="310">
        <v>316.41000000000003</v>
      </c>
      <c r="F20" s="310">
        <v>5.73</v>
      </c>
      <c r="G20" s="310">
        <v>5.8186503742525542</v>
      </c>
      <c r="H20" s="310">
        <v>253.19</v>
      </c>
      <c r="I20" s="310">
        <v>5.19</v>
      </c>
      <c r="J20" s="310">
        <v>5.5911591237148173</v>
      </c>
      <c r="K20" s="310">
        <v>292.73</v>
      </c>
      <c r="L20" s="310">
        <v>228.62</v>
      </c>
      <c r="M20" s="310">
        <v>295.29000000000002</v>
      </c>
      <c r="N20" s="310">
        <v>246.77</v>
      </c>
      <c r="O20" s="310">
        <v>264.74</v>
      </c>
      <c r="P20" s="310">
        <v>191.96</v>
      </c>
      <c r="Q20" s="310">
        <v>282.91000000000003</v>
      </c>
    </row>
    <row r="21" spans="1:17" s="170" customFormat="1" ht="11.85" customHeight="1">
      <c r="A21" s="148" t="s">
        <v>572</v>
      </c>
      <c r="B21" s="267">
        <v>287.41000000000003</v>
      </c>
      <c r="C21" s="267">
        <v>5.29</v>
      </c>
      <c r="D21" s="268">
        <v>5.691074747462066</v>
      </c>
      <c r="E21" s="268">
        <v>313.58999999999997</v>
      </c>
      <c r="F21" s="268">
        <v>5.34</v>
      </c>
      <c r="G21" s="268">
        <v>5.7730823873869852</v>
      </c>
      <c r="H21" s="268">
        <v>253.85</v>
      </c>
      <c r="I21" s="268">
        <v>5.21</v>
      </c>
      <c r="J21" s="268">
        <v>5.5622442458629351</v>
      </c>
      <c r="K21" s="268">
        <v>293.08</v>
      </c>
      <c r="L21" s="268">
        <v>228.84</v>
      </c>
      <c r="M21" s="268">
        <v>295.74</v>
      </c>
      <c r="N21" s="268">
        <v>247.29</v>
      </c>
      <c r="O21" s="268">
        <v>266.32</v>
      </c>
      <c r="P21" s="268">
        <v>192.16</v>
      </c>
      <c r="Q21" s="268">
        <v>285.38</v>
      </c>
    </row>
    <row r="22" spans="1:17" s="170" customFormat="1" ht="11.85" customHeight="1">
      <c r="A22" s="327" t="s">
        <v>580</v>
      </c>
      <c r="B22" s="309">
        <v>290.02999999999997</v>
      </c>
      <c r="C22" s="309">
        <v>5.0199999999999996</v>
      </c>
      <c r="D22" s="310">
        <v>5.6430352022812658</v>
      </c>
      <c r="E22" s="310">
        <v>315.81</v>
      </c>
      <c r="F22" s="310">
        <v>5.23</v>
      </c>
      <c r="G22" s="310">
        <v>5.7801577189297015</v>
      </c>
      <c r="H22" s="310">
        <v>256.97000000000003</v>
      </c>
      <c r="I22" s="310">
        <v>4.6900000000000004</v>
      </c>
      <c r="J22" s="310">
        <v>5.4270318877640555</v>
      </c>
      <c r="K22" s="310">
        <v>301.14999999999998</v>
      </c>
      <c r="L22" s="310">
        <v>229.98</v>
      </c>
      <c r="M22" s="310">
        <v>297.45</v>
      </c>
      <c r="N22" s="310">
        <v>249.01</v>
      </c>
      <c r="O22" s="310">
        <v>269.58</v>
      </c>
      <c r="P22" s="310">
        <v>194.13</v>
      </c>
      <c r="Q22" s="310">
        <v>291.52999999999997</v>
      </c>
    </row>
    <row r="23" spans="1:17" s="170" customFormat="1" ht="11.85" customHeight="1">
      <c r="A23" s="148" t="s">
        <v>581</v>
      </c>
      <c r="B23" s="268">
        <v>290.3</v>
      </c>
      <c r="C23" s="268">
        <v>5.32</v>
      </c>
      <c r="D23" s="268">
        <v>5.6304473421008305</v>
      </c>
      <c r="E23" s="268">
        <v>315.35000000000002</v>
      </c>
      <c r="F23" s="268">
        <v>5.42</v>
      </c>
      <c r="G23" s="268">
        <v>5.815339325778468</v>
      </c>
      <c r="H23" s="268">
        <v>258.18</v>
      </c>
      <c r="I23" s="268">
        <v>5.17</v>
      </c>
      <c r="J23" s="268">
        <v>5.3403232852774041</v>
      </c>
      <c r="K23" s="268">
        <v>302.12</v>
      </c>
      <c r="L23" s="268">
        <v>229.35</v>
      </c>
      <c r="M23" s="268">
        <v>299.52999999999997</v>
      </c>
      <c r="N23" s="268">
        <v>250.79</v>
      </c>
      <c r="O23" s="268">
        <v>272.60000000000002</v>
      </c>
      <c r="P23" s="268">
        <v>195.12</v>
      </c>
      <c r="Q23" s="268">
        <v>296.14999999999998</v>
      </c>
    </row>
    <row r="24" spans="1:17" s="170" customFormat="1" ht="11.85" customHeight="1">
      <c r="A24" s="327" t="s">
        <v>573</v>
      </c>
      <c r="B24" s="310">
        <v>291.95999999999998</v>
      </c>
      <c r="C24" s="310">
        <v>5.47</v>
      </c>
      <c r="D24" s="310">
        <v>5.6286025282636043</v>
      </c>
      <c r="E24" s="310">
        <v>317.32</v>
      </c>
      <c r="F24" s="310">
        <v>5.51</v>
      </c>
      <c r="G24" s="310">
        <v>5.8668131780540422</v>
      </c>
      <c r="H24" s="310">
        <v>259.44</v>
      </c>
      <c r="I24" s="310">
        <v>5.39</v>
      </c>
      <c r="J24" s="310">
        <v>5.2552526450105441</v>
      </c>
      <c r="K24" s="310">
        <v>303.73</v>
      </c>
      <c r="L24" s="310">
        <v>229.5</v>
      </c>
      <c r="M24" s="310">
        <v>302.63</v>
      </c>
      <c r="N24" s="310">
        <v>251.13</v>
      </c>
      <c r="O24" s="310">
        <v>274.68</v>
      </c>
      <c r="P24" s="310">
        <v>195.89</v>
      </c>
      <c r="Q24" s="310">
        <v>299.06</v>
      </c>
    </row>
    <row r="25" spans="1:17" s="170" customFormat="1" ht="11.85" customHeight="1">
      <c r="A25" s="148" t="s">
        <v>582</v>
      </c>
      <c r="B25" s="268">
        <v>293.88</v>
      </c>
      <c r="C25" s="268">
        <v>5.56</v>
      </c>
      <c r="D25" s="268">
        <v>5.5962455762425423</v>
      </c>
      <c r="E25" s="268">
        <v>320.27999999999997</v>
      </c>
      <c r="F25" s="268">
        <v>5.57</v>
      </c>
      <c r="G25" s="268">
        <v>5.8375404420722088</v>
      </c>
      <c r="H25" s="268">
        <v>260.02</v>
      </c>
      <c r="I25" s="268">
        <v>5.55</v>
      </c>
      <c r="J25" s="268">
        <v>5.2176319977855989</v>
      </c>
      <c r="K25" s="268">
        <v>304.23</v>
      </c>
      <c r="L25" s="268">
        <v>229.44</v>
      </c>
      <c r="M25" s="268">
        <v>305</v>
      </c>
      <c r="N25" s="268">
        <v>251.5</v>
      </c>
      <c r="O25" s="268">
        <v>276.02</v>
      </c>
      <c r="P25" s="268">
        <v>195.95</v>
      </c>
      <c r="Q25" s="268">
        <v>299.67</v>
      </c>
    </row>
    <row r="26" spans="1:17" s="170" customFormat="1" ht="11.85" customHeight="1">
      <c r="A26" s="327" t="s">
        <v>583</v>
      </c>
      <c r="B26" s="310">
        <v>287.92</v>
      </c>
      <c r="C26" s="310">
        <v>5.26</v>
      </c>
      <c r="D26" s="310">
        <v>5.5874241588527385</v>
      </c>
      <c r="E26" s="310">
        <v>308.41000000000003</v>
      </c>
      <c r="F26" s="310">
        <v>4.87</v>
      </c>
      <c r="G26" s="310">
        <v>5.816325666833122</v>
      </c>
      <c r="H26" s="310">
        <v>261.64999999999998</v>
      </c>
      <c r="I26" s="310">
        <v>5.86</v>
      </c>
      <c r="J26" s="310">
        <v>5.228935994351902</v>
      </c>
      <c r="K26" s="310">
        <v>305.17</v>
      </c>
      <c r="L26" s="310">
        <v>225.9</v>
      </c>
      <c r="M26" s="310">
        <v>306.45999999999998</v>
      </c>
      <c r="N26" s="310">
        <v>251.53</v>
      </c>
      <c r="O26" s="310">
        <v>294.86</v>
      </c>
      <c r="P26" s="310">
        <v>195.99</v>
      </c>
      <c r="Q26" s="310">
        <v>299.99</v>
      </c>
    </row>
    <row r="27" spans="1:17" s="170" customFormat="1" ht="11.85" customHeight="1">
      <c r="A27" s="148" t="s">
        <v>574</v>
      </c>
      <c r="B27" s="268">
        <v>291.7</v>
      </c>
      <c r="C27" s="268">
        <v>5.64</v>
      </c>
      <c r="D27" s="268">
        <v>5.5576564158239528</v>
      </c>
      <c r="E27" s="268">
        <v>314.19</v>
      </c>
      <c r="F27" s="268">
        <v>5.45</v>
      </c>
      <c r="G27" s="268">
        <v>5.7286183887331088</v>
      </c>
      <c r="H27" s="268">
        <v>262.87</v>
      </c>
      <c r="I27" s="268">
        <v>5.94</v>
      </c>
      <c r="J27" s="268">
        <v>5.2901960246368063</v>
      </c>
      <c r="K27" s="268">
        <v>306</v>
      </c>
      <c r="L27" s="268">
        <v>226.63</v>
      </c>
      <c r="M27" s="268">
        <v>308.95</v>
      </c>
      <c r="N27" s="268">
        <v>251.9</v>
      </c>
      <c r="O27" s="268">
        <v>297.31</v>
      </c>
      <c r="P27" s="268">
        <v>196.54</v>
      </c>
      <c r="Q27" s="268">
        <v>301.82</v>
      </c>
    </row>
    <row r="28" spans="1:17" s="168" customFormat="1" ht="11.85" customHeight="1">
      <c r="A28" s="1077" t="s">
        <v>2018</v>
      </c>
      <c r="B28" s="318">
        <f>AVERAGE(B29:B40)</f>
        <v>306.18166666666667</v>
      </c>
      <c r="C28" s="318">
        <f>C40</f>
        <v>7.56</v>
      </c>
      <c r="D28" s="318">
        <f>D40</f>
        <v>6.1496770018374614</v>
      </c>
      <c r="E28" s="318">
        <f>AVERAGE(E29:E40)</f>
        <v>332.85583333333329</v>
      </c>
      <c r="F28" s="318">
        <f>F40</f>
        <v>8.3699999999999992</v>
      </c>
      <c r="G28" s="318">
        <f>G40</f>
        <v>6.0512006287237297</v>
      </c>
      <c r="H28" s="318">
        <f>AVERAGE(H29:H40)</f>
        <v>271.98333333333335</v>
      </c>
      <c r="I28" s="318">
        <f>I40</f>
        <v>6.33</v>
      </c>
      <c r="J28" s="318">
        <f>J40</f>
        <v>6.3050856290428836</v>
      </c>
      <c r="K28" s="318">
        <f t="shared" ref="K28:Q28" si="1">AVERAGE(K29:K40)</f>
        <v>320.14250000000004</v>
      </c>
      <c r="L28" s="318">
        <f t="shared" si="1"/>
        <v>232.42499999999998</v>
      </c>
      <c r="M28" s="318">
        <f t="shared" si="1"/>
        <v>320.29583333333341</v>
      </c>
      <c r="N28" s="318">
        <f t="shared" si="1"/>
        <v>253.62</v>
      </c>
      <c r="O28" s="318">
        <f t="shared" si="1"/>
        <v>313.00416666666666</v>
      </c>
      <c r="P28" s="318">
        <f t="shared" si="1"/>
        <v>202.60249999999999</v>
      </c>
      <c r="Q28" s="318">
        <f t="shared" si="1"/>
        <v>312.2791666666667</v>
      </c>
    </row>
    <row r="29" spans="1:17" s="168" customFormat="1" ht="11.85" customHeight="1">
      <c r="A29" s="148" t="s">
        <v>576</v>
      </c>
      <c r="B29" s="268">
        <v>293.19</v>
      </c>
      <c r="C29" s="268">
        <v>5.36</v>
      </c>
      <c r="D29" s="268">
        <v>5.5433772763430422</v>
      </c>
      <c r="E29" s="268">
        <v>316.02</v>
      </c>
      <c r="F29" s="268">
        <v>5.08</v>
      </c>
      <c r="G29" s="268">
        <v>5.6764007265614147</v>
      </c>
      <c r="H29" s="268">
        <v>263.93</v>
      </c>
      <c r="I29" s="268">
        <v>5.8</v>
      </c>
      <c r="J29" s="268">
        <v>5.3345262201763832</v>
      </c>
      <c r="K29" s="268">
        <v>307.11</v>
      </c>
      <c r="L29" s="268">
        <v>227.12</v>
      </c>
      <c r="M29" s="268">
        <v>310.07</v>
      </c>
      <c r="N29" s="268">
        <v>252.47</v>
      </c>
      <c r="O29" s="268">
        <v>300.58</v>
      </c>
      <c r="P29" s="268">
        <v>197</v>
      </c>
      <c r="Q29" s="268">
        <v>302.72000000000003</v>
      </c>
    </row>
    <row r="30" spans="1:17" s="168" customFormat="1" ht="11.85" customHeight="1">
      <c r="A30" s="327" t="s">
        <v>577</v>
      </c>
      <c r="B30" s="310">
        <v>297.73</v>
      </c>
      <c r="C30" s="310">
        <v>5.54</v>
      </c>
      <c r="D30" s="310">
        <v>5.5322003983305335</v>
      </c>
      <c r="E30" s="310">
        <v>323.04000000000002</v>
      </c>
      <c r="F30" s="310">
        <v>5.16</v>
      </c>
      <c r="G30" s="310">
        <v>5.5996774283251449</v>
      </c>
      <c r="H30" s="310">
        <v>265.27999999999997</v>
      </c>
      <c r="I30" s="310">
        <v>6.13</v>
      </c>
      <c r="J30" s="310">
        <v>5.4252862618135111</v>
      </c>
      <c r="K30" s="310">
        <v>310.33999999999997</v>
      </c>
      <c r="L30" s="310">
        <v>228.06</v>
      </c>
      <c r="M30" s="310">
        <v>311.89999999999998</v>
      </c>
      <c r="N30" s="310">
        <v>252.66</v>
      </c>
      <c r="O30" s="310">
        <v>301.81</v>
      </c>
      <c r="P30" s="310">
        <v>197.47</v>
      </c>
      <c r="Q30" s="310">
        <v>303.97000000000003</v>
      </c>
    </row>
    <row r="31" spans="1:17" s="168" customFormat="1" ht="11.85" customHeight="1">
      <c r="A31" s="148" t="s">
        <v>571</v>
      </c>
      <c r="B31" s="268">
        <v>304.22000000000003</v>
      </c>
      <c r="C31" s="268">
        <v>5.59</v>
      </c>
      <c r="D31" s="268">
        <v>5.5016044968015265</v>
      </c>
      <c r="E31" s="268">
        <v>332.58</v>
      </c>
      <c r="F31" s="268">
        <v>5.21</v>
      </c>
      <c r="G31" s="268">
        <v>5.491508546772117</v>
      </c>
      <c r="H31" s="268">
        <v>267.85000000000002</v>
      </c>
      <c r="I31" s="268">
        <v>6.19</v>
      </c>
      <c r="J31" s="268">
        <v>5.5154990060180875</v>
      </c>
      <c r="K31" s="268">
        <v>313.63</v>
      </c>
      <c r="L31" s="268">
        <v>230.62</v>
      </c>
      <c r="M31" s="268">
        <v>316.69</v>
      </c>
      <c r="N31" s="268">
        <v>252.89</v>
      </c>
      <c r="O31" s="268">
        <v>303.73</v>
      </c>
      <c r="P31" s="268">
        <v>199.55</v>
      </c>
      <c r="Q31" s="268">
        <v>306.12</v>
      </c>
    </row>
    <row r="32" spans="1:17" s="168" customFormat="1" ht="11.85" customHeight="1">
      <c r="A32" s="327" t="s">
        <v>578</v>
      </c>
      <c r="B32" s="310">
        <v>307.49</v>
      </c>
      <c r="C32" s="310">
        <v>5.7</v>
      </c>
      <c r="D32" s="310">
        <v>5.44</v>
      </c>
      <c r="E32" s="310">
        <v>337.7</v>
      </c>
      <c r="F32" s="310">
        <v>5.22</v>
      </c>
      <c r="G32" s="310">
        <v>5.32</v>
      </c>
      <c r="H32" s="310">
        <v>268.75</v>
      </c>
      <c r="I32" s="310">
        <v>6.48</v>
      </c>
      <c r="J32" s="310">
        <v>5.64</v>
      </c>
      <c r="K32" s="310">
        <v>314.48</v>
      </c>
      <c r="L32" s="310">
        <v>231.64</v>
      </c>
      <c r="M32" s="310">
        <v>316.85000000000002</v>
      </c>
      <c r="N32" s="310">
        <v>252.99</v>
      </c>
      <c r="O32" s="310">
        <v>306.31</v>
      </c>
      <c r="P32" s="310">
        <v>199.71</v>
      </c>
      <c r="Q32" s="310">
        <v>306.66000000000003</v>
      </c>
    </row>
    <row r="33" spans="1:17" s="168" customFormat="1" ht="11.85" customHeight="1">
      <c r="A33" s="148" t="s">
        <v>579</v>
      </c>
      <c r="B33" s="268">
        <v>305.97000000000003</v>
      </c>
      <c r="C33" s="268">
        <v>5.98</v>
      </c>
      <c r="D33" s="268">
        <v>5.4813491177127638</v>
      </c>
      <c r="E33" s="268">
        <v>333.58</v>
      </c>
      <c r="F33" s="268">
        <v>5.43</v>
      </c>
      <c r="G33" s="268">
        <v>5.2912847174716227</v>
      </c>
      <c r="H33" s="268">
        <v>270.58</v>
      </c>
      <c r="I33" s="268">
        <v>6.87</v>
      </c>
      <c r="J33" s="268">
        <v>5.7801080180567288</v>
      </c>
      <c r="K33" s="268">
        <v>316.73</v>
      </c>
      <c r="L33" s="268">
        <v>232.46</v>
      </c>
      <c r="M33" s="268">
        <v>317.92</v>
      </c>
      <c r="N33" s="268">
        <v>253.09</v>
      </c>
      <c r="O33" s="268">
        <v>313.36</v>
      </c>
      <c r="P33" s="268">
        <v>200.25</v>
      </c>
      <c r="Q33" s="268">
        <v>307.70999999999998</v>
      </c>
    </row>
    <row r="34" spans="1:17" s="168" customFormat="1" ht="11.85" customHeight="1">
      <c r="A34" s="327" t="s">
        <v>572</v>
      </c>
      <c r="B34" s="310">
        <v>304.81</v>
      </c>
      <c r="C34" s="310">
        <v>6.05</v>
      </c>
      <c r="D34" s="310">
        <v>5.54</v>
      </c>
      <c r="E34" s="310">
        <v>330.71</v>
      </c>
      <c r="F34" s="310">
        <v>5.46</v>
      </c>
      <c r="G34" s="310">
        <v>5.3016020052310431</v>
      </c>
      <c r="H34" s="310">
        <v>271.61</v>
      </c>
      <c r="I34" s="310">
        <v>7</v>
      </c>
      <c r="J34" s="310">
        <v>5.9293944512266439</v>
      </c>
      <c r="K34" s="310">
        <v>320.38</v>
      </c>
      <c r="L34" s="310">
        <v>232.71</v>
      </c>
      <c r="M34" s="310">
        <v>318.7</v>
      </c>
      <c r="N34" s="310">
        <v>253.16</v>
      </c>
      <c r="O34" s="310">
        <v>314.27</v>
      </c>
      <c r="P34" s="310">
        <v>201.02</v>
      </c>
      <c r="Q34" s="310">
        <v>308.64999999999998</v>
      </c>
    </row>
    <row r="35" spans="1:17" s="168" customFormat="1" ht="11.85" customHeight="1">
      <c r="A35" s="148" t="s">
        <v>580</v>
      </c>
      <c r="B35" s="268">
        <v>307.02</v>
      </c>
      <c r="C35" s="268">
        <v>5.86</v>
      </c>
      <c r="D35" s="268">
        <v>5.6150806542117015</v>
      </c>
      <c r="E35" s="268">
        <v>333.51</v>
      </c>
      <c r="F35" s="268">
        <v>5.6</v>
      </c>
      <c r="G35" s="268">
        <v>5.3332790754455628</v>
      </c>
      <c r="H35" s="268">
        <v>273.05</v>
      </c>
      <c r="I35" s="268">
        <v>6.26</v>
      </c>
      <c r="J35" s="268">
        <v>6.0589199562864904</v>
      </c>
      <c r="K35" s="268">
        <v>321.57</v>
      </c>
      <c r="L35" s="268">
        <v>233.53</v>
      </c>
      <c r="M35" s="268">
        <v>320.51</v>
      </c>
      <c r="N35" s="268">
        <v>253.44</v>
      </c>
      <c r="O35" s="268">
        <v>315.7</v>
      </c>
      <c r="P35" s="268">
        <v>203.16</v>
      </c>
      <c r="Q35" s="268">
        <v>312.88</v>
      </c>
    </row>
    <row r="36" spans="1:17" s="168" customFormat="1" ht="11.85" customHeight="1">
      <c r="A36" s="327" t="s">
        <v>581</v>
      </c>
      <c r="B36" s="310">
        <v>308.20999999999998</v>
      </c>
      <c r="C36" s="310">
        <v>6.17</v>
      </c>
      <c r="D36" s="310">
        <v>5.6861320951678174</v>
      </c>
      <c r="E36" s="310">
        <v>334.95</v>
      </c>
      <c r="F36" s="310">
        <v>6.22</v>
      </c>
      <c r="G36" s="310">
        <v>5.4012078912681671</v>
      </c>
      <c r="H36" s="310">
        <v>273.93</v>
      </c>
      <c r="I36" s="310">
        <v>6.1</v>
      </c>
      <c r="J36" s="310">
        <v>6.1349347223835116</v>
      </c>
      <c r="K36" s="310">
        <v>323.49</v>
      </c>
      <c r="L36" s="310">
        <v>233.65</v>
      </c>
      <c r="M36" s="310">
        <v>322.05</v>
      </c>
      <c r="N36" s="310">
        <v>253.57</v>
      </c>
      <c r="O36" s="310">
        <v>317.11</v>
      </c>
      <c r="P36" s="310">
        <v>203.76</v>
      </c>
      <c r="Q36" s="310">
        <v>314.16000000000003</v>
      </c>
    </row>
    <row r="37" spans="1:17" s="168" customFormat="1" ht="11.85" customHeight="1">
      <c r="A37" s="148" t="s">
        <v>573</v>
      </c>
      <c r="B37" s="268">
        <v>310.12</v>
      </c>
      <c r="C37" s="268">
        <v>6.22</v>
      </c>
      <c r="D37" s="268">
        <v>5.7496501613063966</v>
      </c>
      <c r="E37" s="268">
        <v>337.43</v>
      </c>
      <c r="F37" s="268">
        <v>6.34</v>
      </c>
      <c r="G37" s="268">
        <v>5.4720481862916115</v>
      </c>
      <c r="H37" s="268">
        <v>275.11</v>
      </c>
      <c r="I37" s="268">
        <v>6.04</v>
      </c>
      <c r="J37" s="268">
        <v>6.1873207985941425</v>
      </c>
      <c r="K37" s="268">
        <v>325.31</v>
      </c>
      <c r="L37" s="268">
        <v>234.17</v>
      </c>
      <c r="M37" s="268">
        <v>323.51</v>
      </c>
      <c r="N37" s="268">
        <v>253.91</v>
      </c>
      <c r="O37" s="268">
        <v>317.88</v>
      </c>
      <c r="P37" s="268">
        <v>204.95</v>
      </c>
      <c r="Q37" s="268">
        <v>317.85000000000002</v>
      </c>
    </row>
    <row r="38" spans="1:17" s="168" customFormat="1" ht="11.85" customHeight="1">
      <c r="A38" s="327" t="s">
        <v>582</v>
      </c>
      <c r="B38" s="310">
        <v>312.38</v>
      </c>
      <c r="C38" s="310">
        <v>6.29</v>
      </c>
      <c r="D38" s="310">
        <v>5.8114153321578765</v>
      </c>
      <c r="E38" s="310">
        <v>340.25</v>
      </c>
      <c r="F38" s="310">
        <v>6.23</v>
      </c>
      <c r="G38" s="310">
        <v>5.5297540814660318</v>
      </c>
      <c r="H38" s="310">
        <v>276.64</v>
      </c>
      <c r="I38" s="310">
        <v>6.39</v>
      </c>
      <c r="J38" s="310">
        <v>6.2561657349555988</v>
      </c>
      <c r="K38" s="310">
        <v>328.18</v>
      </c>
      <c r="L38" s="310">
        <v>234.65</v>
      </c>
      <c r="M38" s="310">
        <v>325.93</v>
      </c>
      <c r="N38" s="310">
        <v>254.59</v>
      </c>
      <c r="O38" s="310">
        <v>319.82</v>
      </c>
      <c r="P38" s="310">
        <v>206.59</v>
      </c>
      <c r="Q38" s="310">
        <v>319.99</v>
      </c>
    </row>
    <row r="39" spans="1:17" s="168" customFormat="1" ht="11.85" customHeight="1">
      <c r="A39" s="148" t="s">
        <v>583</v>
      </c>
      <c r="B39" s="268">
        <v>309.27999999999997</v>
      </c>
      <c r="C39" s="268">
        <v>7.42</v>
      </c>
      <c r="D39" s="268">
        <v>5.9894246228676229</v>
      </c>
      <c r="E39" s="268">
        <v>334.02</v>
      </c>
      <c r="F39" s="268">
        <v>8.3000000000000007</v>
      </c>
      <c r="G39" s="268">
        <v>5.8094140987488219</v>
      </c>
      <c r="H39" s="268">
        <v>277.57</v>
      </c>
      <c r="I39" s="268">
        <v>6.08</v>
      </c>
      <c r="J39" s="268">
        <v>6.2736460392475157</v>
      </c>
      <c r="K39" s="268">
        <v>329.4</v>
      </c>
      <c r="L39" s="268">
        <v>235.01</v>
      </c>
      <c r="M39" s="268">
        <v>328.4</v>
      </c>
      <c r="N39" s="268">
        <v>255.05</v>
      </c>
      <c r="O39" s="268">
        <v>320.76</v>
      </c>
      <c r="P39" s="268">
        <v>207.47</v>
      </c>
      <c r="Q39" s="268">
        <v>321.14999999999998</v>
      </c>
    </row>
    <row r="40" spans="1:17" s="168" customFormat="1" ht="11.85" customHeight="1">
      <c r="A40" s="327" t="s">
        <v>574</v>
      </c>
      <c r="B40" s="310">
        <v>313.76</v>
      </c>
      <c r="C40" s="310">
        <v>7.56</v>
      </c>
      <c r="D40" s="310">
        <v>6.1496770018374614</v>
      </c>
      <c r="E40" s="310">
        <v>340.48</v>
      </c>
      <c r="F40" s="310">
        <v>8.3699999999999992</v>
      </c>
      <c r="G40" s="310">
        <v>6.0512006287237297</v>
      </c>
      <c r="H40" s="310">
        <v>279.5</v>
      </c>
      <c r="I40" s="310">
        <v>6.33</v>
      </c>
      <c r="J40" s="310">
        <v>6.3050856290428836</v>
      </c>
      <c r="K40" s="310">
        <v>331.09</v>
      </c>
      <c r="L40" s="310">
        <v>235.48</v>
      </c>
      <c r="M40" s="310">
        <v>331.02</v>
      </c>
      <c r="N40" s="310">
        <v>255.62</v>
      </c>
      <c r="O40" s="310">
        <v>324.72000000000003</v>
      </c>
      <c r="P40" s="310">
        <v>210.3</v>
      </c>
      <c r="Q40" s="310">
        <v>325.49</v>
      </c>
    </row>
    <row r="41" spans="1:17" s="168" customFormat="1" ht="11.85" customHeight="1">
      <c r="A41" s="105" t="s">
        <v>2299</v>
      </c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</row>
    <row r="42" spans="1:17" s="168" customFormat="1" ht="11.85" customHeight="1">
      <c r="A42" s="327" t="s">
        <v>576</v>
      </c>
      <c r="B42" s="310">
        <v>315.13</v>
      </c>
      <c r="C42" s="310">
        <v>7.48</v>
      </c>
      <c r="D42" s="310">
        <v>6.325224955699249</v>
      </c>
      <c r="E42" s="310">
        <v>341.91</v>
      </c>
      <c r="F42" s="310">
        <v>8.19</v>
      </c>
      <c r="G42" s="310">
        <v>6.3075975174726073</v>
      </c>
      <c r="H42" s="310">
        <v>280.8</v>
      </c>
      <c r="I42" s="310">
        <v>6.39</v>
      </c>
      <c r="J42" s="310">
        <v>6.3533126505419091</v>
      </c>
      <c r="K42" s="310">
        <v>332.97</v>
      </c>
      <c r="L42" s="310">
        <v>235.87</v>
      </c>
      <c r="M42" s="310">
        <v>331.6</v>
      </c>
      <c r="N42" s="310">
        <v>256.22000000000003</v>
      </c>
      <c r="O42" s="310">
        <v>325.44</v>
      </c>
      <c r="P42" s="310">
        <v>211.78</v>
      </c>
      <c r="Q42" s="310">
        <v>331.52</v>
      </c>
    </row>
    <row r="43" spans="1:17" s="168" customFormat="1" ht="11.85" customHeight="1">
      <c r="A43" s="148" t="s">
        <v>577</v>
      </c>
      <c r="B43" s="268">
        <v>326.06</v>
      </c>
      <c r="C43" s="268">
        <v>9.52</v>
      </c>
      <c r="D43" s="268">
        <v>6.6609199681544995</v>
      </c>
      <c r="E43" s="268">
        <v>355.16</v>
      </c>
      <c r="F43" s="268">
        <v>9.94</v>
      </c>
      <c r="G43" s="268">
        <v>6.709993759002697</v>
      </c>
      <c r="H43" s="268">
        <v>288.76</v>
      </c>
      <c r="I43" s="268">
        <v>8.85</v>
      </c>
      <c r="J43" s="268">
        <v>6.5847962271211369</v>
      </c>
      <c r="K43" s="268">
        <v>334.36</v>
      </c>
      <c r="L43" s="268">
        <v>247.15</v>
      </c>
      <c r="M43" s="268">
        <v>336.03</v>
      </c>
      <c r="N43" s="268">
        <v>280.11</v>
      </c>
      <c r="O43" s="268">
        <v>333.15</v>
      </c>
      <c r="P43" s="268">
        <v>213.44</v>
      </c>
      <c r="Q43" s="268">
        <v>335.56</v>
      </c>
    </row>
    <row r="44" spans="1:17" s="168" customFormat="1" ht="11.85" customHeight="1">
      <c r="A44" s="327" t="s">
        <v>571</v>
      </c>
      <c r="B44" s="310">
        <v>331.88</v>
      </c>
      <c r="C44" s="310">
        <v>9.1</v>
      </c>
      <c r="D44" s="310">
        <v>6.9598855175087682</v>
      </c>
      <c r="E44" s="310">
        <v>362.77</v>
      </c>
      <c r="F44" s="310">
        <v>9.08</v>
      </c>
      <c r="G44" s="310">
        <v>7.0407505099713052</v>
      </c>
      <c r="H44" s="310">
        <v>292.29000000000002</v>
      </c>
      <c r="I44" s="310">
        <v>9.1300000000000008</v>
      </c>
      <c r="J44" s="310">
        <v>6.8352147077798131</v>
      </c>
      <c r="K44" s="310">
        <v>337.21</v>
      </c>
      <c r="L44" s="310">
        <v>248.08</v>
      </c>
      <c r="M44" s="310">
        <v>341.28</v>
      </c>
      <c r="N44" s="310">
        <v>293.16000000000003</v>
      </c>
      <c r="O44" s="310">
        <v>337.74</v>
      </c>
      <c r="P44" s="310">
        <v>214.28</v>
      </c>
      <c r="Q44" s="310">
        <v>341.13</v>
      </c>
    </row>
    <row r="45" spans="1:17" s="168" customFormat="1" ht="11.85" customHeight="1">
      <c r="A45" s="148" t="s">
        <v>578</v>
      </c>
      <c r="B45" s="268">
        <v>334.89</v>
      </c>
      <c r="C45" s="268">
        <v>8.91</v>
      </c>
      <c r="D45" s="268">
        <v>7.2341355183939138</v>
      </c>
      <c r="E45" s="268">
        <v>366.39</v>
      </c>
      <c r="F45" s="268">
        <v>8.5</v>
      </c>
      <c r="G45" s="268">
        <v>7.3213772939671573</v>
      </c>
      <c r="H45" s="268">
        <v>294.51</v>
      </c>
      <c r="I45" s="268">
        <v>9.58</v>
      </c>
      <c r="J45" s="268">
        <v>7.0999814813632378</v>
      </c>
      <c r="K45" s="268">
        <v>338.17</v>
      </c>
      <c r="L45" s="268">
        <v>248.79</v>
      </c>
      <c r="M45" s="268">
        <v>344.34</v>
      </c>
      <c r="N45" s="268">
        <v>294.93</v>
      </c>
      <c r="O45" s="268">
        <v>341.86</v>
      </c>
      <c r="P45" s="268">
        <v>215.27</v>
      </c>
      <c r="Q45" s="268">
        <v>349.33</v>
      </c>
    </row>
    <row r="46" spans="1:17" s="168" customFormat="1" ht="11.85" customHeight="1">
      <c r="A46" s="327" t="s">
        <v>579</v>
      </c>
      <c r="B46" s="310">
        <v>333.07</v>
      </c>
      <c r="C46" s="310">
        <v>8.85</v>
      </c>
      <c r="D46" s="310">
        <v>7.4767067592749425</v>
      </c>
      <c r="E46" s="310">
        <v>360.75</v>
      </c>
      <c r="F46" s="310">
        <v>8.14</v>
      </c>
      <c r="G46" s="310">
        <v>7.5485918183306744</v>
      </c>
      <c r="H46" s="310">
        <v>297.58</v>
      </c>
      <c r="I46" s="310">
        <v>9.98</v>
      </c>
      <c r="J46" s="310">
        <v>7.3659176279700755</v>
      </c>
      <c r="K46" s="310">
        <v>340.91</v>
      </c>
      <c r="L46" s="310">
        <v>249.07</v>
      </c>
      <c r="M46" s="310">
        <v>349.61</v>
      </c>
      <c r="N46" s="310">
        <v>302.73</v>
      </c>
      <c r="O46" s="310">
        <v>347.6</v>
      </c>
      <c r="P46" s="310">
        <v>215.98</v>
      </c>
      <c r="Q46" s="310">
        <v>355.45</v>
      </c>
    </row>
    <row r="47" spans="1:17" s="168" customFormat="1" ht="11.85" customHeight="1">
      <c r="A47" s="148" t="s">
        <v>572</v>
      </c>
      <c r="B47" s="268">
        <v>331.35</v>
      </c>
      <c r="C47" s="268">
        <v>8.7100000000000009</v>
      </c>
      <c r="D47" s="268">
        <v>7.6969543717689382</v>
      </c>
      <c r="E47" s="268">
        <v>356.86</v>
      </c>
      <c r="F47" s="268">
        <v>7.91</v>
      </c>
      <c r="G47" s="268">
        <v>7.7487910706107943</v>
      </c>
      <c r="H47" s="268">
        <v>298.64999999999998</v>
      </c>
      <c r="I47" s="268">
        <v>9.9600000000000009</v>
      </c>
      <c r="J47" s="268">
        <v>7.6176222636898272</v>
      </c>
      <c r="K47" s="268">
        <v>342.96</v>
      </c>
      <c r="L47" s="268">
        <v>249.09</v>
      </c>
      <c r="M47" s="268">
        <v>353.11</v>
      </c>
      <c r="N47" s="268">
        <v>303.2</v>
      </c>
      <c r="O47" s="268">
        <v>348.59</v>
      </c>
      <c r="P47" s="268">
        <v>216.7</v>
      </c>
      <c r="Q47" s="268">
        <v>356.87</v>
      </c>
    </row>
    <row r="48" spans="1:17" s="168" customFormat="1" ht="11.85" customHeight="1">
      <c r="A48" s="327" t="s">
        <v>580</v>
      </c>
      <c r="B48" s="310">
        <v>333.34</v>
      </c>
      <c r="C48" s="310">
        <v>8.57</v>
      </c>
      <c r="D48" s="310">
        <v>7.9212793503700807</v>
      </c>
      <c r="E48" s="310">
        <v>359.4</v>
      </c>
      <c r="F48" s="310">
        <v>7.76</v>
      </c>
      <c r="G48" s="310">
        <v>7.9244029268368266</v>
      </c>
      <c r="H48" s="310">
        <v>299.93</v>
      </c>
      <c r="I48" s="310">
        <v>9.84</v>
      </c>
      <c r="J48" s="310">
        <v>7.9184219702752801</v>
      </c>
      <c r="K48" s="310">
        <v>343.9</v>
      </c>
      <c r="L48" s="310">
        <v>250.94</v>
      </c>
      <c r="M48" s="310">
        <v>354.21</v>
      </c>
      <c r="N48" s="310">
        <v>303.57</v>
      </c>
      <c r="O48" s="310">
        <v>348.96</v>
      </c>
      <c r="P48" s="310">
        <v>218.08</v>
      </c>
      <c r="Q48" s="310">
        <v>358.95</v>
      </c>
    </row>
    <row r="49" spans="1:17" s="168" customFormat="1" ht="11.85" customHeight="1">
      <c r="A49" s="148" t="s">
        <v>581</v>
      </c>
      <c r="B49" s="268">
        <v>335.29</v>
      </c>
      <c r="C49" s="268">
        <v>8.7799999999999994</v>
      </c>
      <c r="D49" s="268">
        <v>8.1369466625858866</v>
      </c>
      <c r="E49" s="268">
        <v>362.17</v>
      </c>
      <c r="F49" s="268">
        <v>8.1300000000000008</v>
      </c>
      <c r="G49" s="268">
        <v>8.0798710500757274</v>
      </c>
      <c r="H49" s="268">
        <v>300.82</v>
      </c>
      <c r="I49" s="268">
        <v>9.82</v>
      </c>
      <c r="J49" s="268">
        <v>8.2276739940480681</v>
      </c>
      <c r="K49" s="268">
        <v>344.49</v>
      </c>
      <c r="L49" s="268">
        <v>252.28</v>
      </c>
      <c r="M49" s="268">
        <v>355.04</v>
      </c>
      <c r="N49" s="268">
        <v>303.89999999999998</v>
      </c>
      <c r="O49" s="268">
        <v>349.49</v>
      </c>
      <c r="P49" s="268">
        <v>218.58</v>
      </c>
      <c r="Q49" s="268">
        <v>360.12</v>
      </c>
    </row>
    <row r="50" spans="1:17" s="168" customFormat="1" ht="11.85" customHeight="1" thickBot="1">
      <c r="A50" s="1517" t="s">
        <v>573</v>
      </c>
      <c r="B50" s="497">
        <v>339.07</v>
      </c>
      <c r="C50" s="497">
        <v>9.33</v>
      </c>
      <c r="D50" s="497">
        <v>8.394744564344748</v>
      </c>
      <c r="E50" s="497">
        <v>368.09</v>
      </c>
      <c r="F50" s="497">
        <v>9.09</v>
      </c>
      <c r="G50" s="497">
        <v>8.3074138282684284</v>
      </c>
      <c r="H50" s="497">
        <v>301.87</v>
      </c>
      <c r="I50" s="497">
        <v>9.7200000000000006</v>
      </c>
      <c r="J50" s="497">
        <v>8.5325527354625628</v>
      </c>
      <c r="K50" s="497">
        <v>345.29</v>
      </c>
      <c r="L50" s="497">
        <v>253.4</v>
      </c>
      <c r="M50" s="497">
        <v>355.94</v>
      </c>
      <c r="N50" s="497">
        <v>304.94</v>
      </c>
      <c r="O50" s="497">
        <v>350.41</v>
      </c>
      <c r="P50" s="497">
        <v>218.77</v>
      </c>
      <c r="Q50" s="497">
        <v>362.65</v>
      </c>
    </row>
    <row r="51" spans="1:17" s="168" customFormat="1" ht="11.85" customHeight="1">
      <c r="A51" s="148" t="s">
        <v>2655</v>
      </c>
      <c r="B51" s="268"/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</row>
    <row r="52" spans="1:17">
      <c r="A52" s="2244" t="s">
        <v>2656</v>
      </c>
      <c r="B52" s="2244"/>
      <c r="C52" s="2244"/>
      <c r="D52" s="2244"/>
      <c r="E52" s="104"/>
      <c r="F52" s="104"/>
      <c r="G52" s="30"/>
      <c r="H52" s="34" t="s">
        <v>385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143"/>
      <c r="F53" s="34"/>
      <c r="G53" s="34"/>
      <c r="H53" s="34"/>
      <c r="I53" s="34"/>
    </row>
    <row r="54" spans="1:17">
      <c r="A54" s="34"/>
      <c r="B54" s="34"/>
      <c r="C54" s="34"/>
      <c r="D54" s="34"/>
      <c r="E54" s="1144"/>
      <c r="F54" s="1482"/>
      <c r="G54" s="635"/>
      <c r="H54" s="1482"/>
      <c r="I54" s="152"/>
      <c r="J54" s="635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68"/>
    </row>
    <row r="56" spans="1:17">
      <c r="B56" s="88"/>
      <c r="C56" s="268"/>
      <c r="D56" s="88"/>
      <c r="E56" s="88"/>
      <c r="F56" s="268"/>
      <c r="G56" s="88"/>
      <c r="H56" s="88"/>
      <c r="I56" s="268"/>
      <c r="J56" s="88"/>
    </row>
    <row r="57" spans="1:17">
      <c r="A57" s="265"/>
      <c r="B57" s="268"/>
      <c r="C57" s="268"/>
      <c r="D57" s="268"/>
      <c r="E57" s="268"/>
      <c r="F57" s="268"/>
      <c r="G57" s="268"/>
      <c r="H57" s="268"/>
      <c r="I57" s="268"/>
      <c r="J57" s="268"/>
      <c r="L57" s="268"/>
      <c r="M57" s="268"/>
      <c r="N57" s="268"/>
      <c r="O57" s="268"/>
      <c r="P57" s="268"/>
      <c r="Q57" s="268"/>
    </row>
    <row r="58" spans="1:17">
      <c r="B58" s="268"/>
      <c r="C58" s="268"/>
      <c r="D58" s="268"/>
      <c r="E58" s="268"/>
      <c r="F58" s="268"/>
      <c r="G58" s="268"/>
      <c r="H58" s="268"/>
      <c r="I58" s="268"/>
      <c r="J58" s="268"/>
    </row>
    <row r="59" spans="1:17">
      <c r="B59" s="268"/>
      <c r="C59" s="268"/>
      <c r="D59" s="268"/>
      <c r="E59" s="268"/>
      <c r="F59" s="268"/>
      <c r="G59" s="268"/>
      <c r="H59" s="268"/>
      <c r="I59" s="268"/>
      <c r="J59" s="268"/>
    </row>
    <row r="60" spans="1:17">
      <c r="H60" s="88"/>
    </row>
    <row r="61" spans="1:17">
      <c r="C61" s="635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74"/>
  <sheetViews>
    <sheetView zoomScale="145" zoomScaleNormal="145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D24" sqref="D24"/>
    </sheetView>
  </sheetViews>
  <sheetFormatPr defaultRowHeight="12.75"/>
  <cols>
    <col min="1" max="9" width="7.28515625" style="1792" customWidth="1"/>
    <col min="10" max="10" width="7.7109375" style="1792" customWidth="1"/>
    <col min="11" max="11" width="8.28515625" style="1792" customWidth="1"/>
    <col min="12" max="12" width="7" style="1792" customWidth="1"/>
    <col min="13" max="13" width="7.28515625" style="1792" customWidth="1"/>
    <col min="14" max="14" width="8.85546875" style="1792" customWidth="1"/>
    <col min="15" max="15" width="6.140625" style="1792" customWidth="1"/>
    <col min="16" max="16" width="8.140625" style="1792" customWidth="1"/>
    <col min="17" max="17" width="7.5703125" style="1792" customWidth="1"/>
    <col min="18" max="18" width="6.85546875" style="1792" customWidth="1"/>
    <col min="19" max="19" width="6.7109375" style="1792" customWidth="1"/>
    <col min="20" max="20" width="7.7109375" style="1792" customWidth="1"/>
    <col min="21" max="21" width="6.28515625" style="1792" customWidth="1"/>
    <col min="22" max="16384" width="9.140625" style="1792"/>
  </cols>
  <sheetData>
    <row r="1" spans="1:21" ht="15.75" customHeight="1">
      <c r="A1" s="2232" t="s">
        <v>2470</v>
      </c>
      <c r="B1" s="2232"/>
      <c r="C1" s="2232"/>
      <c r="D1" s="2232"/>
      <c r="E1" s="2232"/>
      <c r="F1" s="2232"/>
      <c r="G1" s="2232"/>
      <c r="H1" s="2232"/>
      <c r="I1" s="2232"/>
      <c r="J1" s="2232"/>
      <c r="K1" s="2257" t="s">
        <v>2471</v>
      </c>
      <c r="L1" s="2257"/>
      <c r="M1" s="2257"/>
      <c r="N1" s="2257"/>
      <c r="O1" s="2257"/>
      <c r="P1" s="2257"/>
      <c r="Q1" s="2257"/>
      <c r="R1" s="2257"/>
      <c r="S1" s="2257"/>
      <c r="T1" s="2257"/>
      <c r="U1" s="2257"/>
    </row>
    <row r="2" spans="1:21">
      <c r="A2" s="21"/>
      <c r="B2" s="1533"/>
      <c r="C2" s="21"/>
      <c r="D2" s="21"/>
      <c r="E2" s="21"/>
      <c r="F2" s="1533"/>
      <c r="G2" s="2258"/>
      <c r="H2" s="2258"/>
      <c r="I2" s="2258"/>
      <c r="J2" s="2258"/>
      <c r="K2" s="96"/>
      <c r="L2" s="1534"/>
      <c r="M2" s="1533"/>
      <c r="N2" s="1533"/>
      <c r="O2" s="1533"/>
      <c r="P2" s="1533"/>
      <c r="Q2" s="1533"/>
      <c r="R2" s="1533"/>
      <c r="S2" s="1533"/>
      <c r="T2" s="1533"/>
      <c r="U2" s="1533"/>
    </row>
    <row r="3" spans="1:21">
      <c r="A3" s="2187" t="s">
        <v>498</v>
      </c>
      <c r="B3" s="1800" t="s">
        <v>517</v>
      </c>
      <c r="C3" s="2194" t="s">
        <v>519</v>
      </c>
      <c r="D3" s="2196"/>
      <c r="E3" s="1800" t="s">
        <v>517</v>
      </c>
      <c r="F3" s="2194" t="s">
        <v>92</v>
      </c>
      <c r="G3" s="2196"/>
      <c r="H3" s="1800" t="s">
        <v>517</v>
      </c>
      <c r="I3" s="2194" t="s">
        <v>93</v>
      </c>
      <c r="J3" s="2195"/>
      <c r="K3" s="1793"/>
      <c r="L3" s="2195" t="s">
        <v>185</v>
      </c>
      <c r="M3" s="2195"/>
      <c r="N3" s="2195"/>
      <c r="O3" s="2195"/>
      <c r="P3" s="2195"/>
      <c r="Q3" s="2195"/>
      <c r="R3" s="2195"/>
      <c r="S3" s="2195"/>
      <c r="T3" s="2195"/>
      <c r="U3" s="2196"/>
    </row>
    <row r="4" spans="1:21" ht="24" customHeight="1">
      <c r="A4" s="2188"/>
      <c r="B4" s="2248" t="s">
        <v>518</v>
      </c>
      <c r="C4" s="2237" t="s">
        <v>94</v>
      </c>
      <c r="D4" s="2233" t="s">
        <v>95</v>
      </c>
      <c r="E4" s="2237" t="s">
        <v>515</v>
      </c>
      <c r="F4" s="2233" t="s">
        <v>94</v>
      </c>
      <c r="G4" s="2237" t="s">
        <v>95</v>
      </c>
      <c r="H4" s="2233" t="s">
        <v>263</v>
      </c>
      <c r="I4" s="2237" t="s">
        <v>110</v>
      </c>
      <c r="J4" s="2237" t="s">
        <v>95</v>
      </c>
      <c r="K4" s="2188" t="s">
        <v>2472</v>
      </c>
      <c r="L4" s="2187" t="s">
        <v>19</v>
      </c>
      <c r="M4" s="2255" t="s">
        <v>2473</v>
      </c>
      <c r="N4" s="2241" t="s">
        <v>2474</v>
      </c>
      <c r="O4" s="2241" t="s">
        <v>2475</v>
      </c>
      <c r="P4" s="2241" t="s">
        <v>2476</v>
      </c>
      <c r="Q4" s="2250" t="s">
        <v>2477</v>
      </c>
      <c r="R4" s="2252" t="s">
        <v>2478</v>
      </c>
      <c r="S4" s="2253" t="s">
        <v>2188</v>
      </c>
      <c r="T4" s="2253" t="s">
        <v>2479</v>
      </c>
      <c r="U4" s="2241" t="s">
        <v>915</v>
      </c>
    </row>
    <row r="5" spans="1:21" ht="24" customHeight="1">
      <c r="A5" s="2188"/>
      <c r="B5" s="2249"/>
      <c r="C5" s="2237"/>
      <c r="D5" s="2259"/>
      <c r="E5" s="2237"/>
      <c r="F5" s="2259"/>
      <c r="G5" s="2237"/>
      <c r="H5" s="2259"/>
      <c r="I5" s="2237"/>
      <c r="J5" s="2237"/>
      <c r="K5" s="2189"/>
      <c r="L5" s="2189"/>
      <c r="M5" s="2255"/>
      <c r="N5" s="2241"/>
      <c r="O5" s="2241"/>
      <c r="P5" s="2241"/>
      <c r="Q5" s="2251"/>
      <c r="R5" s="2252"/>
      <c r="S5" s="2254"/>
      <c r="T5" s="2254"/>
      <c r="U5" s="2241"/>
    </row>
    <row r="6" spans="1:21">
      <c r="A6" s="87" t="s">
        <v>585</v>
      </c>
      <c r="B6" s="1796">
        <v>100</v>
      </c>
      <c r="C6" s="2246" t="s">
        <v>140</v>
      </c>
      <c r="D6" s="2256"/>
      <c r="E6" s="1796">
        <v>44.86</v>
      </c>
      <c r="F6" s="2245" t="s">
        <v>140</v>
      </c>
      <c r="G6" s="2245"/>
      <c r="H6" s="1796">
        <v>55.14</v>
      </c>
      <c r="I6" s="2245" t="s">
        <v>140</v>
      </c>
      <c r="J6" s="2245"/>
      <c r="K6" s="1796">
        <v>2.64</v>
      </c>
      <c r="L6" s="1796">
        <v>6.11</v>
      </c>
      <c r="M6" s="1796">
        <v>15.24</v>
      </c>
      <c r="N6" s="1796">
        <v>3.84</v>
      </c>
      <c r="O6" s="1796">
        <v>4.34</v>
      </c>
      <c r="P6" s="1796">
        <v>9.3699999999999992</v>
      </c>
      <c r="Q6" s="1796">
        <v>2.34</v>
      </c>
      <c r="R6" s="1796">
        <v>1.54</v>
      </c>
      <c r="S6" s="1796">
        <v>3.76</v>
      </c>
      <c r="T6" s="1796">
        <v>2.17</v>
      </c>
      <c r="U6" s="1796">
        <v>3.79</v>
      </c>
    </row>
    <row r="7" spans="1:21" ht="12.75" customHeight="1">
      <c r="A7" s="105" t="s">
        <v>2299</v>
      </c>
      <c r="B7" s="360">
        <v>109.02</v>
      </c>
      <c r="C7" s="360">
        <f>C10</f>
        <v>9.74</v>
      </c>
      <c r="D7" s="360">
        <f>D10</f>
        <v>9.02</v>
      </c>
      <c r="E7" s="360">
        <v>108.71</v>
      </c>
      <c r="F7" s="360">
        <f>F10</f>
        <v>9.73</v>
      </c>
      <c r="G7" s="360" t="str">
        <f>G10</f>
        <v>…</v>
      </c>
      <c r="H7" s="360">
        <v>109.39</v>
      </c>
      <c r="I7" s="360">
        <f>I10</f>
        <v>9.6</v>
      </c>
      <c r="J7" s="360" t="str">
        <f>J10</f>
        <v>…</v>
      </c>
      <c r="K7" s="360" t="s">
        <v>298</v>
      </c>
      <c r="L7" s="360">
        <v>106.71</v>
      </c>
      <c r="M7" s="360">
        <v>108.25</v>
      </c>
      <c r="N7" s="360">
        <v>109.68</v>
      </c>
      <c r="O7" s="360">
        <v>114.09</v>
      </c>
      <c r="P7" s="360">
        <v>109.67</v>
      </c>
      <c r="Q7" s="360" t="s">
        <v>298</v>
      </c>
      <c r="R7" s="360">
        <v>108.58</v>
      </c>
      <c r="S7" s="360" t="s">
        <v>298</v>
      </c>
      <c r="T7" s="360" t="s">
        <v>298</v>
      </c>
      <c r="U7" s="360">
        <v>112.05</v>
      </c>
    </row>
    <row r="8" spans="1:21" ht="17.25" customHeight="1">
      <c r="A8" s="1535" t="s">
        <v>582</v>
      </c>
      <c r="B8" s="1536">
        <v>111.45</v>
      </c>
      <c r="C8" s="1536">
        <v>9.24</v>
      </c>
      <c r="D8" s="1536">
        <v>8.64</v>
      </c>
      <c r="E8" s="1536">
        <v>111.26</v>
      </c>
      <c r="F8" s="1536">
        <v>8.84</v>
      </c>
      <c r="G8" s="1536" t="s">
        <v>298</v>
      </c>
      <c r="H8" s="1536">
        <v>111.6</v>
      </c>
      <c r="I8" s="1536">
        <v>9.7200000000000006</v>
      </c>
      <c r="J8" s="1536" t="s">
        <v>298</v>
      </c>
      <c r="K8" s="1536">
        <v>115.81</v>
      </c>
      <c r="L8" s="1536">
        <v>107.99</v>
      </c>
      <c r="M8" s="1536">
        <v>111.71</v>
      </c>
      <c r="N8" s="1536">
        <v>113.8</v>
      </c>
      <c r="O8" s="1536">
        <v>108.05</v>
      </c>
      <c r="P8" s="1536">
        <v>110.11</v>
      </c>
      <c r="Q8" s="1536">
        <v>106.64</v>
      </c>
      <c r="R8" s="1536">
        <v>114.4</v>
      </c>
      <c r="S8" s="1536">
        <v>109.25</v>
      </c>
      <c r="T8" s="1536">
        <v>132.84</v>
      </c>
      <c r="U8" s="1536">
        <v>111.6</v>
      </c>
    </row>
    <row r="9" spans="1:21" ht="18" customHeight="1">
      <c r="A9" s="148" t="s">
        <v>583</v>
      </c>
      <c r="B9" s="268">
        <v>111.06</v>
      </c>
      <c r="C9" s="268">
        <v>9.94</v>
      </c>
      <c r="D9" s="268">
        <v>8.84</v>
      </c>
      <c r="E9" s="268">
        <v>109.62</v>
      </c>
      <c r="F9" s="268">
        <v>9.24</v>
      </c>
      <c r="G9" s="268" t="s">
        <v>298</v>
      </c>
      <c r="H9" s="268">
        <v>112.22</v>
      </c>
      <c r="I9" s="268">
        <v>9.9600000000000009</v>
      </c>
      <c r="J9" s="268" t="s">
        <v>298</v>
      </c>
      <c r="K9" s="268">
        <v>117.11</v>
      </c>
      <c r="L9" s="268">
        <v>108.18</v>
      </c>
      <c r="M9" s="268">
        <v>112.4</v>
      </c>
      <c r="N9" s="268">
        <v>113.93</v>
      </c>
      <c r="O9" s="268">
        <v>109.5</v>
      </c>
      <c r="P9" s="268">
        <v>110.38</v>
      </c>
      <c r="Q9" s="268">
        <v>106.64</v>
      </c>
      <c r="R9" s="268">
        <v>114.65</v>
      </c>
      <c r="S9" s="268">
        <v>109.37</v>
      </c>
      <c r="T9" s="268">
        <v>136.56</v>
      </c>
      <c r="U9" s="268">
        <v>111.87</v>
      </c>
    </row>
    <row r="10" spans="1:21" ht="18" customHeight="1">
      <c r="A10" s="327" t="s">
        <v>574</v>
      </c>
      <c r="B10" s="310">
        <v>112.46</v>
      </c>
      <c r="C10" s="310">
        <v>9.74</v>
      </c>
      <c r="D10" s="310">
        <v>9.02</v>
      </c>
      <c r="E10" s="310">
        <v>112.25</v>
      </c>
      <c r="F10" s="310">
        <v>9.73</v>
      </c>
      <c r="G10" s="310" t="s">
        <v>298</v>
      </c>
      <c r="H10" s="310">
        <v>112.63</v>
      </c>
      <c r="I10" s="310">
        <v>9.6</v>
      </c>
      <c r="J10" s="310" t="s">
        <v>298</v>
      </c>
      <c r="K10" s="310">
        <v>117.77</v>
      </c>
      <c r="L10" s="310">
        <v>108.4</v>
      </c>
      <c r="M10" s="310">
        <v>113.39</v>
      </c>
      <c r="N10" s="310">
        <v>114.03</v>
      </c>
      <c r="O10" s="310">
        <v>109.52</v>
      </c>
      <c r="P10" s="310">
        <v>110.52</v>
      </c>
      <c r="Q10" s="310">
        <v>106.64</v>
      </c>
      <c r="R10" s="310">
        <v>114.94</v>
      </c>
      <c r="S10" s="310">
        <v>109.37</v>
      </c>
      <c r="T10" s="310">
        <v>137.44999999999999</v>
      </c>
      <c r="U10" s="310">
        <v>111.96</v>
      </c>
    </row>
    <row r="11" spans="1:21" ht="18" customHeight="1">
      <c r="A11" s="105" t="s">
        <v>2515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</row>
    <row r="12" spans="1:21" ht="18" customHeight="1">
      <c r="A12" s="327" t="s">
        <v>576</v>
      </c>
      <c r="B12" s="310">
        <v>112.89</v>
      </c>
      <c r="C12" s="310">
        <v>9.69</v>
      </c>
      <c r="D12" s="310">
        <v>9.1999999999999993</v>
      </c>
      <c r="E12" s="310">
        <v>112.74</v>
      </c>
      <c r="F12" s="310">
        <v>9.76</v>
      </c>
      <c r="G12" s="310" t="s">
        <v>298</v>
      </c>
      <c r="H12" s="310">
        <v>113.02</v>
      </c>
      <c r="I12" s="310">
        <v>9.4700000000000006</v>
      </c>
      <c r="J12" s="310" t="s">
        <v>298</v>
      </c>
      <c r="K12" s="310">
        <v>117.9</v>
      </c>
      <c r="L12" s="310">
        <v>108.88</v>
      </c>
      <c r="M12" s="310">
        <v>113.84</v>
      </c>
      <c r="N12" s="310">
        <v>114.22</v>
      </c>
      <c r="O12" s="310">
        <v>109.92</v>
      </c>
      <c r="P12" s="310">
        <v>110.64</v>
      </c>
      <c r="Q12" s="310">
        <v>106.65</v>
      </c>
      <c r="R12" s="310">
        <v>115.53</v>
      </c>
      <c r="S12" s="310">
        <v>109.68</v>
      </c>
      <c r="T12" s="310">
        <v>138.91</v>
      </c>
      <c r="U12" s="310">
        <v>112.6</v>
      </c>
    </row>
    <row r="13" spans="1:21" ht="18" customHeight="1">
      <c r="A13" s="148" t="s">
        <v>577</v>
      </c>
      <c r="B13" s="268">
        <v>117.06</v>
      </c>
      <c r="C13" s="268">
        <v>9.92</v>
      </c>
      <c r="D13" s="268">
        <v>9.24</v>
      </c>
      <c r="E13" s="268">
        <v>120.08</v>
      </c>
      <c r="F13" s="268">
        <v>12.54</v>
      </c>
      <c r="G13" s="268" t="s">
        <v>298</v>
      </c>
      <c r="H13" s="268">
        <v>114.61</v>
      </c>
      <c r="I13" s="268">
        <v>7.95</v>
      </c>
      <c r="J13" s="268" t="s">
        <v>298</v>
      </c>
      <c r="K13" s="268">
        <v>116.06</v>
      </c>
      <c r="L13" s="268">
        <v>112.53</v>
      </c>
      <c r="M13" s="268">
        <v>113.8</v>
      </c>
      <c r="N13" s="268">
        <v>119.77</v>
      </c>
      <c r="O13" s="268">
        <v>110.5</v>
      </c>
      <c r="P13" s="268">
        <v>115.73</v>
      </c>
      <c r="Q13" s="268">
        <v>104.51</v>
      </c>
      <c r="R13" s="268">
        <v>118.69</v>
      </c>
      <c r="S13" s="268">
        <v>109.68</v>
      </c>
      <c r="T13" s="268">
        <v>135.06</v>
      </c>
      <c r="U13" s="268">
        <v>114.6</v>
      </c>
    </row>
    <row r="14" spans="1:21" ht="18" customHeight="1">
      <c r="A14" s="327" t="s">
        <v>571</v>
      </c>
      <c r="B14" s="310">
        <v>118.83</v>
      </c>
      <c r="C14" s="310">
        <v>9.6300000000000008</v>
      </c>
      <c r="D14" s="310">
        <v>9.2899999999999991</v>
      </c>
      <c r="E14" s="310">
        <v>122.47</v>
      </c>
      <c r="F14" s="310">
        <v>12.37</v>
      </c>
      <c r="G14" s="310" t="s">
        <v>298</v>
      </c>
      <c r="H14" s="310">
        <v>115.87</v>
      </c>
      <c r="I14" s="310">
        <v>7.82</v>
      </c>
      <c r="J14" s="310" t="s">
        <v>298</v>
      </c>
      <c r="K14" s="310">
        <v>119.31</v>
      </c>
      <c r="L14" s="310">
        <v>113.16</v>
      </c>
      <c r="M14" s="310">
        <v>115</v>
      </c>
      <c r="N14" s="310">
        <v>120.89</v>
      </c>
      <c r="O14" s="310">
        <v>111.06</v>
      </c>
      <c r="P14" s="310">
        <v>116.2</v>
      </c>
      <c r="Q14" s="310">
        <v>105.88</v>
      </c>
      <c r="R14" s="310">
        <v>121.22</v>
      </c>
      <c r="S14" s="310">
        <v>111.19</v>
      </c>
      <c r="T14" s="310">
        <v>136.25</v>
      </c>
      <c r="U14" s="310">
        <v>117.89</v>
      </c>
    </row>
    <row r="15" spans="1:21" ht="18" customHeight="1">
      <c r="A15" s="148" t="s">
        <v>578</v>
      </c>
      <c r="B15" s="268">
        <v>120.24</v>
      </c>
      <c r="C15" s="268">
        <v>9.93</v>
      </c>
      <c r="D15" s="268">
        <v>9.3699999999999992</v>
      </c>
      <c r="E15" s="268">
        <v>123.9</v>
      </c>
      <c r="F15" s="268">
        <v>12.56</v>
      </c>
      <c r="G15" s="268" t="s">
        <v>298</v>
      </c>
      <c r="H15" s="268">
        <v>117.27</v>
      </c>
      <c r="I15" s="268">
        <v>8.3000000000000007</v>
      </c>
      <c r="J15" s="268" t="s">
        <v>298</v>
      </c>
      <c r="K15" s="268">
        <v>119.33</v>
      </c>
      <c r="L15" s="268">
        <v>114.28</v>
      </c>
      <c r="M15" s="268">
        <v>116.76</v>
      </c>
      <c r="N15" s="268">
        <v>122.68</v>
      </c>
      <c r="O15" s="268">
        <v>114.28</v>
      </c>
      <c r="P15" s="268">
        <v>117.22</v>
      </c>
      <c r="Q15" s="268">
        <v>106.66</v>
      </c>
      <c r="R15" s="268">
        <v>122.2</v>
      </c>
      <c r="S15" s="268">
        <v>112.12</v>
      </c>
      <c r="T15" s="268">
        <v>137.24</v>
      </c>
      <c r="U15" s="268">
        <v>118.96</v>
      </c>
    </row>
    <row r="16" spans="1:21" ht="18" customHeight="1">
      <c r="A16" s="327" t="s">
        <v>579</v>
      </c>
      <c r="B16" s="310">
        <v>119.1</v>
      </c>
      <c r="C16" s="310">
        <v>9.49</v>
      </c>
      <c r="D16" s="310">
        <v>9.42</v>
      </c>
      <c r="E16" s="310">
        <v>120.04</v>
      </c>
      <c r="F16" s="310">
        <v>10.76</v>
      </c>
      <c r="G16" s="310" t="s">
        <v>298</v>
      </c>
      <c r="H16" s="310">
        <v>118.33</v>
      </c>
      <c r="I16" s="310">
        <v>8.16</v>
      </c>
      <c r="J16" s="310" t="s">
        <v>298</v>
      </c>
      <c r="K16" s="310">
        <v>119.44</v>
      </c>
      <c r="L16" s="310">
        <v>115.92</v>
      </c>
      <c r="M16" s="310">
        <v>118.07</v>
      </c>
      <c r="N16" s="310">
        <v>124.56</v>
      </c>
      <c r="O16" s="310">
        <v>114.8</v>
      </c>
      <c r="P16" s="310">
        <v>117.85</v>
      </c>
      <c r="Q16" s="310">
        <v>106.71</v>
      </c>
      <c r="R16" s="310">
        <v>123.58</v>
      </c>
      <c r="S16" s="310">
        <v>112.24</v>
      </c>
      <c r="T16" s="310">
        <v>138.84</v>
      </c>
      <c r="U16" s="310">
        <v>120.83</v>
      </c>
    </row>
    <row r="17" spans="1:21" ht="18" customHeight="1">
      <c r="A17" s="148" t="s">
        <v>572</v>
      </c>
      <c r="B17" s="268">
        <v>118.4</v>
      </c>
      <c r="C17" s="268">
        <v>9.41</v>
      </c>
      <c r="D17" s="268">
        <v>9.48</v>
      </c>
      <c r="E17" s="268">
        <v>117.48</v>
      </c>
      <c r="F17" s="268">
        <v>9.58</v>
      </c>
      <c r="G17" s="268" t="s">
        <v>298</v>
      </c>
      <c r="H17" s="268">
        <v>119.16</v>
      </c>
      <c r="I17" s="268">
        <v>8.52</v>
      </c>
      <c r="J17" s="268" t="s">
        <v>298</v>
      </c>
      <c r="K17" s="268">
        <v>119.52</v>
      </c>
      <c r="L17" s="268">
        <v>116.22</v>
      </c>
      <c r="M17" s="268">
        <v>118.51</v>
      </c>
      <c r="N17" s="268">
        <v>124.95</v>
      </c>
      <c r="O17" s="268">
        <v>120.93</v>
      </c>
      <c r="P17" s="268">
        <v>118.05</v>
      </c>
      <c r="Q17" s="268">
        <v>107.07</v>
      </c>
      <c r="R17" s="268">
        <v>123.63</v>
      </c>
      <c r="S17" s="268">
        <v>112.32</v>
      </c>
      <c r="T17" s="268">
        <v>139.04</v>
      </c>
      <c r="U17" s="268">
        <v>122.09</v>
      </c>
    </row>
    <row r="18" spans="1:21" ht="18" customHeight="1" thickBot="1">
      <c r="A18" s="1517" t="s">
        <v>580</v>
      </c>
      <c r="B18" s="497">
        <v>119.6</v>
      </c>
      <c r="C18" s="497">
        <v>9.86</v>
      </c>
      <c r="D18" s="497">
        <v>9.59</v>
      </c>
      <c r="E18" s="497">
        <v>118.3</v>
      </c>
      <c r="F18" s="497">
        <v>9.56</v>
      </c>
      <c r="G18" s="497" t="s">
        <v>298</v>
      </c>
      <c r="H18" s="497">
        <v>120.66</v>
      </c>
      <c r="I18" s="497">
        <v>9.42</v>
      </c>
      <c r="J18" s="497" t="s">
        <v>298</v>
      </c>
      <c r="K18" s="497">
        <v>120.66</v>
      </c>
      <c r="L18" s="497">
        <v>117.37</v>
      </c>
      <c r="M18" s="497">
        <v>119.76</v>
      </c>
      <c r="N18" s="497">
        <v>125.92</v>
      </c>
      <c r="O18" s="497">
        <v>122.38</v>
      </c>
      <c r="P18" s="497">
        <v>119.21</v>
      </c>
      <c r="Q18" s="497">
        <v>108.3</v>
      </c>
      <c r="R18" s="497">
        <v>125.9</v>
      </c>
      <c r="S18" s="497">
        <v>113.97</v>
      </c>
      <c r="T18" s="497">
        <v>141.85</v>
      </c>
      <c r="U18" s="497">
        <v>125.89</v>
      </c>
    </row>
    <row r="19" spans="1:21">
      <c r="A19" s="2244" t="s">
        <v>267</v>
      </c>
      <c r="B19" s="2244"/>
      <c r="C19" s="2244"/>
      <c r="D19" s="2244"/>
      <c r="E19" s="104"/>
      <c r="F19" s="104" t="s">
        <v>2480</v>
      </c>
      <c r="G19" s="30"/>
      <c r="H19" s="34" t="s">
        <v>385</v>
      </c>
      <c r="I19" s="34"/>
      <c r="J19" s="34"/>
      <c r="K19" s="34"/>
      <c r="L19" s="30"/>
      <c r="M19" s="30"/>
      <c r="N19" s="30"/>
      <c r="O19" s="30"/>
      <c r="P19" s="30"/>
      <c r="Q19" s="30"/>
      <c r="R19" s="30"/>
      <c r="S19" s="30"/>
      <c r="T19" s="30"/>
      <c r="U19" s="30"/>
    </row>
    <row r="26" spans="1:21" ht="9.6" customHeight="1"/>
    <row r="27" spans="1:21" ht="9.6" customHeight="1"/>
    <row r="28" spans="1:21" ht="9.6" customHeight="1"/>
    <row r="29" spans="1:21" ht="9.6" customHeight="1"/>
    <row r="30" spans="1:21" ht="9.6" customHeight="1"/>
    <row r="31" spans="1:21" ht="9.6" customHeight="1"/>
    <row r="32" spans="1:21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75" customHeight="1"/>
    <row r="60" ht="9.6" customHeight="1"/>
    <row r="61" ht="9.6" customHeight="1"/>
    <row r="62" ht="9.6" customHeight="1"/>
    <row r="63" ht="9.6" customHeight="1"/>
    <row r="64" ht="9.6" customHeight="1"/>
    <row r="65" ht="9.6" customHeight="1"/>
    <row r="66" ht="9.6" customHeight="1"/>
    <row r="67" ht="9.6" customHeight="1"/>
    <row r="68" ht="9.6" customHeight="1"/>
    <row r="69" ht="10.5" customHeight="1"/>
    <row r="70" ht="10.7" customHeight="1"/>
    <row r="71" ht="10.7" customHeight="1"/>
    <row r="72" ht="12" customHeight="1"/>
    <row r="73" ht="12.6" customHeight="1"/>
    <row r="74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A19:D19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zoomScale="124" zoomScaleNormal="124" workbookViewId="0">
      <selection activeCell="C22" sqref="C22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7" t="s">
        <v>761</v>
      </c>
      <c r="C2" s="197"/>
      <c r="D2" s="197"/>
    </row>
    <row r="3" spans="2:4">
      <c r="B3" s="41" t="s">
        <v>762</v>
      </c>
      <c r="C3" s="198" t="s">
        <v>1355</v>
      </c>
      <c r="D3" s="193"/>
    </row>
    <row r="4" spans="2:4">
      <c r="B4" s="41" t="s">
        <v>763</v>
      </c>
      <c r="C4" s="198" t="s">
        <v>1320</v>
      </c>
      <c r="D4" s="193"/>
    </row>
    <row r="5" spans="2:4">
      <c r="B5" s="41" t="s">
        <v>764</v>
      </c>
      <c r="C5" s="198" t="s">
        <v>791</v>
      </c>
      <c r="D5" s="193"/>
    </row>
    <row r="6" spans="2:4">
      <c r="B6" s="41" t="s">
        <v>765</v>
      </c>
      <c r="C6" s="198" t="s">
        <v>766</v>
      </c>
      <c r="D6" s="193"/>
    </row>
    <row r="7" spans="2:4">
      <c r="B7" s="41" t="s">
        <v>767</v>
      </c>
      <c r="C7" s="198" t="s">
        <v>1321</v>
      </c>
      <c r="D7" s="193"/>
    </row>
    <row r="8" spans="2:4">
      <c r="B8" s="41" t="s">
        <v>768</v>
      </c>
      <c r="C8" s="198" t="s">
        <v>1322</v>
      </c>
      <c r="D8" s="193"/>
    </row>
    <row r="9" spans="2:4">
      <c r="B9" s="41" t="s">
        <v>769</v>
      </c>
      <c r="C9" s="198" t="s">
        <v>792</v>
      </c>
      <c r="D9" s="193"/>
    </row>
    <row r="10" spans="2:4" s="1036" customFormat="1">
      <c r="B10" s="192" t="s">
        <v>770</v>
      </c>
      <c r="C10" s="864" t="s">
        <v>860</v>
      </c>
      <c r="D10" s="193"/>
    </row>
    <row r="11" spans="2:4" s="1036" customFormat="1">
      <c r="B11" s="192" t="s">
        <v>1131</v>
      </c>
      <c r="C11" s="198" t="s">
        <v>1132</v>
      </c>
      <c r="D11" s="193"/>
    </row>
    <row r="12" spans="2:4" s="1036" customFormat="1">
      <c r="B12" s="192" t="s">
        <v>771</v>
      </c>
      <c r="C12" s="198" t="s">
        <v>772</v>
      </c>
      <c r="D12" s="193"/>
    </row>
    <row r="13" spans="2:4" s="1036" customFormat="1">
      <c r="B13" s="192" t="s">
        <v>773</v>
      </c>
      <c r="C13" s="198" t="s">
        <v>1327</v>
      </c>
      <c r="D13" s="1044"/>
    </row>
    <row r="14" spans="2:4" s="1036" customFormat="1">
      <c r="B14" s="192" t="s">
        <v>733</v>
      </c>
      <c r="C14" s="198" t="s">
        <v>774</v>
      </c>
      <c r="D14" s="193"/>
    </row>
    <row r="15" spans="2:4" s="1036" customFormat="1">
      <c r="B15" s="192" t="s">
        <v>734</v>
      </c>
      <c r="C15" s="198" t="s">
        <v>775</v>
      </c>
      <c r="D15" s="193"/>
    </row>
    <row r="16" spans="2:4" s="1036" customFormat="1">
      <c r="B16" s="192" t="s">
        <v>2482</v>
      </c>
      <c r="C16" s="198" t="s">
        <v>776</v>
      </c>
      <c r="D16" s="193"/>
    </row>
    <row r="17" spans="2:4" s="1528" customFormat="1">
      <c r="B17" s="192" t="s">
        <v>2483</v>
      </c>
      <c r="C17" s="198" t="s">
        <v>777</v>
      </c>
      <c r="D17" s="193"/>
    </row>
    <row r="18" spans="2:4" s="1036" customFormat="1">
      <c r="B18" s="192" t="s">
        <v>735</v>
      </c>
      <c r="C18" s="198" t="s">
        <v>2484</v>
      </c>
      <c r="D18" s="193"/>
    </row>
    <row r="19" spans="2:4" s="1036" customFormat="1">
      <c r="B19" s="192" t="s">
        <v>736</v>
      </c>
      <c r="C19" s="198" t="s">
        <v>2485</v>
      </c>
      <c r="D19" s="193"/>
    </row>
    <row r="20" spans="2:4" s="1036" customFormat="1">
      <c r="B20" s="192" t="s">
        <v>1133</v>
      </c>
      <c r="C20" s="198" t="s">
        <v>2210</v>
      </c>
      <c r="D20" s="193"/>
    </row>
    <row r="21" spans="2:4" s="1036" customFormat="1">
      <c r="B21" s="192" t="s">
        <v>1134</v>
      </c>
      <c r="C21" s="198" t="s">
        <v>2209</v>
      </c>
      <c r="D21" s="193"/>
    </row>
    <row r="22" spans="2:4" s="1036" customFormat="1">
      <c r="B22" s="192" t="s">
        <v>1135</v>
      </c>
      <c r="C22" s="198" t="s">
        <v>2553</v>
      </c>
    </row>
    <row r="23" spans="2:4" s="1684" customFormat="1">
      <c r="B23" s="192" t="s">
        <v>2550</v>
      </c>
      <c r="C23" s="198" t="s">
        <v>778</v>
      </c>
      <c r="D23" s="193"/>
    </row>
    <row r="24" spans="2:4" s="1036" customFormat="1">
      <c r="B24" s="192" t="s">
        <v>737</v>
      </c>
      <c r="C24" s="198" t="s">
        <v>1344</v>
      </c>
      <c r="D24" s="193"/>
    </row>
    <row r="25" spans="2:4" s="1036" customFormat="1" ht="12.75" customHeight="1">
      <c r="B25" s="192" t="s">
        <v>738</v>
      </c>
      <c r="C25" s="198" t="s">
        <v>790</v>
      </c>
      <c r="D25" s="193"/>
    </row>
    <row r="26" spans="2:4" s="1036" customFormat="1">
      <c r="B26" s="192" t="s">
        <v>1136</v>
      </c>
      <c r="C26" s="198" t="s">
        <v>779</v>
      </c>
      <c r="D26" s="193"/>
    </row>
    <row r="27" spans="2:4" s="1036" customFormat="1">
      <c r="B27" s="192" t="s">
        <v>1137</v>
      </c>
      <c r="C27" s="198" t="s">
        <v>1345</v>
      </c>
      <c r="D27" s="193"/>
    </row>
    <row r="28" spans="2:4" s="1036" customFormat="1">
      <c r="B28" s="192" t="s">
        <v>739</v>
      </c>
      <c r="C28" s="864" t="s">
        <v>2668</v>
      </c>
      <c r="D28" s="193"/>
    </row>
    <row r="29" spans="2:4" s="1036" customFormat="1">
      <c r="B29" s="192" t="s">
        <v>740</v>
      </c>
      <c r="C29" s="920" t="s">
        <v>2501</v>
      </c>
      <c r="D29" s="193"/>
    </row>
    <row r="30" spans="2:4" s="1036" customFormat="1">
      <c r="B30" s="192" t="s">
        <v>741</v>
      </c>
      <c r="C30" s="864" t="s">
        <v>780</v>
      </c>
      <c r="D30" s="193"/>
    </row>
    <row r="31" spans="2:4" s="1036" customFormat="1">
      <c r="B31" s="192" t="s">
        <v>742</v>
      </c>
      <c r="C31" s="198" t="s">
        <v>781</v>
      </c>
      <c r="D31" s="193"/>
    </row>
    <row r="32" spans="2:4" s="1036" customFormat="1">
      <c r="B32" s="192" t="s">
        <v>743</v>
      </c>
      <c r="C32" s="198" t="s">
        <v>782</v>
      </c>
      <c r="D32" s="193"/>
    </row>
    <row r="33" spans="2:4" s="1036" customFormat="1">
      <c r="B33" s="192" t="s">
        <v>744</v>
      </c>
      <c r="C33" s="198" t="s">
        <v>1353</v>
      </c>
      <c r="D33" s="193"/>
    </row>
    <row r="34" spans="2:4" s="1036" customFormat="1">
      <c r="B34" s="192" t="s">
        <v>745</v>
      </c>
      <c r="C34" s="198" t="s">
        <v>783</v>
      </c>
      <c r="D34" s="193"/>
    </row>
    <row r="35" spans="2:4" s="1036" customFormat="1">
      <c r="B35" s="192" t="s">
        <v>746</v>
      </c>
      <c r="C35" s="198" t="s">
        <v>784</v>
      </c>
      <c r="D35" s="193"/>
    </row>
    <row r="36" spans="2:4" s="1036" customFormat="1">
      <c r="B36" s="192" t="s">
        <v>747</v>
      </c>
      <c r="C36" s="198" t="s">
        <v>785</v>
      </c>
      <c r="D36" s="193"/>
    </row>
    <row r="37" spans="2:4" s="1036" customFormat="1">
      <c r="B37" s="192" t="s">
        <v>748</v>
      </c>
      <c r="C37" s="198" t="s">
        <v>786</v>
      </c>
      <c r="D37" s="193"/>
    </row>
    <row r="38" spans="2:4" s="1036" customFormat="1">
      <c r="B38" s="192" t="s">
        <v>749</v>
      </c>
      <c r="C38" s="198" t="s">
        <v>1352</v>
      </c>
      <c r="D38" s="193"/>
    </row>
    <row r="39" spans="2:4" s="1036" customFormat="1" ht="12" customHeight="1">
      <c r="B39" s="192" t="s">
        <v>750</v>
      </c>
      <c r="C39" s="198" t="s">
        <v>1483</v>
      </c>
      <c r="D39" s="194"/>
    </row>
    <row r="40" spans="2:4">
      <c r="B40" s="192" t="s">
        <v>751</v>
      </c>
      <c r="C40" s="198" t="s">
        <v>1656</v>
      </c>
    </row>
    <row r="41" spans="2:4">
      <c r="B41" s="192" t="s">
        <v>752</v>
      </c>
      <c r="C41" s="198" t="s">
        <v>1514</v>
      </c>
    </row>
    <row r="42" spans="2:4">
      <c r="B42" s="192" t="s">
        <v>753</v>
      </c>
      <c r="C42" s="198" t="s">
        <v>1537</v>
      </c>
    </row>
    <row r="43" spans="2:4">
      <c r="B43" s="192" t="s">
        <v>2093</v>
      </c>
      <c r="C43" s="198" t="s">
        <v>2094</v>
      </c>
    </row>
    <row r="44" spans="2:4" s="1257" customFormat="1">
      <c r="B44" s="192" t="s">
        <v>2319</v>
      </c>
      <c r="C44" s="198" t="s">
        <v>2320</v>
      </c>
    </row>
    <row r="46" spans="2:4">
      <c r="C46" s="198" t="s">
        <v>1359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H62" activePane="bottomRight" state="frozen"/>
      <selection activeCell="F85" sqref="F85"/>
      <selection pane="topRight" activeCell="F85" sqref="F85"/>
      <selection pane="bottomLeft" activeCell="F85" sqref="F85"/>
      <selection pane="bottomRight" activeCell="R67" sqref="R67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60" t="s">
        <v>2184</v>
      </c>
      <c r="B1" s="2260"/>
      <c r="C1" s="2260"/>
      <c r="D1" s="2260"/>
      <c r="E1" s="2260"/>
      <c r="F1" s="2260"/>
      <c r="G1" s="2260"/>
      <c r="H1" s="2260"/>
      <c r="I1" s="2260"/>
      <c r="J1" s="2260"/>
      <c r="K1" s="2260"/>
      <c r="L1" s="2260" t="s">
        <v>2185</v>
      </c>
      <c r="M1" s="2260"/>
      <c r="N1" s="2260"/>
      <c r="O1" s="2260"/>
      <c r="P1" s="2260"/>
      <c r="Q1" s="2260"/>
      <c r="R1" s="2260"/>
      <c r="S1" s="2260"/>
      <c r="T1" s="2260"/>
      <c r="U1" s="2208" t="s">
        <v>1139</v>
      </c>
      <c r="V1" s="2208"/>
      <c r="W1" s="53"/>
    </row>
    <row r="2" spans="1:24" s="21" customFormat="1" ht="12.75" customHeight="1">
      <c r="A2" s="1056"/>
      <c r="B2" s="1056"/>
      <c r="C2" s="1056"/>
      <c r="D2" s="1056"/>
      <c r="E2" s="1056"/>
      <c r="F2" s="1056"/>
      <c r="G2" s="1056"/>
      <c r="I2" s="1056"/>
      <c r="L2" s="1056"/>
      <c r="M2" s="1056"/>
      <c r="N2" s="1056"/>
      <c r="O2" s="1056"/>
      <c r="P2" s="1056"/>
      <c r="Q2" s="1056"/>
      <c r="R2" s="1056"/>
      <c r="T2" s="91"/>
      <c r="U2" s="2261" t="s">
        <v>24</v>
      </c>
      <c r="V2" s="2261"/>
      <c r="W2" s="91"/>
    </row>
    <row r="3" spans="1:24" s="89" customFormat="1" ht="71.25" customHeight="1">
      <c r="A3" s="2262" t="s">
        <v>498</v>
      </c>
      <c r="B3" s="1452" t="s">
        <v>1341</v>
      </c>
      <c r="C3" s="1452" t="s">
        <v>520</v>
      </c>
      <c r="D3" s="1452" t="s">
        <v>2186</v>
      </c>
      <c r="E3" s="1452" t="s">
        <v>270</v>
      </c>
      <c r="F3" s="1452" t="s">
        <v>2187</v>
      </c>
      <c r="G3" s="1452" t="s">
        <v>271</v>
      </c>
      <c r="H3" s="1452" t="s">
        <v>1334</v>
      </c>
      <c r="I3" s="1452" t="s">
        <v>1335</v>
      </c>
      <c r="J3" s="1452" t="s">
        <v>1336</v>
      </c>
      <c r="K3" s="1452" t="s">
        <v>272</v>
      </c>
      <c r="L3" s="1452" t="s">
        <v>1337</v>
      </c>
      <c r="M3" s="1452" t="s">
        <v>1338</v>
      </c>
      <c r="N3" s="1452" t="s">
        <v>2188</v>
      </c>
      <c r="O3" s="1452" t="s">
        <v>1339</v>
      </c>
      <c r="P3" s="1452" t="s">
        <v>1340</v>
      </c>
      <c r="Q3" s="1452" t="s">
        <v>2189</v>
      </c>
      <c r="R3" s="1452" t="s">
        <v>268</v>
      </c>
      <c r="S3" s="1452" t="s">
        <v>2190</v>
      </c>
      <c r="T3" s="1181" t="s">
        <v>269</v>
      </c>
      <c r="U3" s="1182" t="s">
        <v>678</v>
      </c>
      <c r="V3" s="2262" t="s">
        <v>498</v>
      </c>
      <c r="W3" s="92"/>
      <c r="X3" s="92"/>
    </row>
    <row r="4" spans="1:24" s="79" customFormat="1">
      <c r="A4" s="2263"/>
      <c r="B4" s="1451">
        <v>1</v>
      </c>
      <c r="C4" s="1451">
        <v>2</v>
      </c>
      <c r="D4" s="1451">
        <v>3</v>
      </c>
      <c r="E4" s="1451">
        <v>4</v>
      </c>
      <c r="F4" s="1451">
        <v>5</v>
      </c>
      <c r="G4" s="1451">
        <v>6</v>
      </c>
      <c r="H4" s="1451">
        <v>7</v>
      </c>
      <c r="I4" s="1451">
        <v>8</v>
      </c>
      <c r="J4" s="1451">
        <v>9</v>
      </c>
      <c r="K4" s="1451">
        <v>10</v>
      </c>
      <c r="L4" s="1451">
        <v>11</v>
      </c>
      <c r="M4" s="1451">
        <v>12</v>
      </c>
      <c r="N4" s="1451">
        <v>13</v>
      </c>
      <c r="O4" s="1451">
        <v>14</v>
      </c>
      <c r="P4" s="1451">
        <v>15</v>
      </c>
      <c r="Q4" s="1451">
        <v>16</v>
      </c>
      <c r="R4" s="1451">
        <v>17</v>
      </c>
      <c r="S4" s="1451">
        <v>18</v>
      </c>
      <c r="T4" s="1451">
        <v>19</v>
      </c>
      <c r="U4" s="1451">
        <v>20</v>
      </c>
      <c r="V4" s="2263"/>
      <c r="W4" s="1183"/>
      <c r="X4" s="1184"/>
    </row>
    <row r="5" spans="1:24" s="1188" customFormat="1" ht="9" customHeight="1">
      <c r="A5" s="2264" t="s">
        <v>2179</v>
      </c>
      <c r="B5" s="2264"/>
      <c r="C5" s="2264"/>
      <c r="D5" s="1185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365"/>
      <c r="W5" s="1186"/>
      <c r="X5" s="1187"/>
    </row>
    <row r="6" spans="1:24" s="33" customFormat="1" ht="8.25" customHeight="1">
      <c r="A6" s="1189" t="s">
        <v>575</v>
      </c>
      <c r="B6" s="1190">
        <v>70171</v>
      </c>
      <c r="C6" s="1190">
        <v>16814</v>
      </c>
      <c r="D6" s="1190">
        <v>7009</v>
      </c>
      <c r="E6" s="1190">
        <v>73834</v>
      </c>
      <c r="F6" s="1190">
        <v>5553</v>
      </c>
      <c r="G6" s="1190">
        <v>29825</v>
      </c>
      <c r="H6" s="1190">
        <v>62352</v>
      </c>
      <c r="I6" s="1190">
        <v>3467</v>
      </c>
      <c r="J6" s="1190">
        <v>46497</v>
      </c>
      <c r="K6" s="1190">
        <v>14216</v>
      </c>
      <c r="L6" s="1190">
        <v>37935</v>
      </c>
      <c r="M6" s="1190">
        <v>14089</v>
      </c>
      <c r="N6" s="1190">
        <v>9962</v>
      </c>
      <c r="O6" s="1190">
        <v>9288</v>
      </c>
      <c r="P6" s="1190">
        <v>56600</v>
      </c>
      <c r="Q6" s="1191">
        <f>SUM(B6:P6)</f>
        <v>457612</v>
      </c>
      <c r="R6" s="1190">
        <v>24725</v>
      </c>
      <c r="S6" s="1190">
        <f>Q6+R6</f>
        <v>482337</v>
      </c>
      <c r="T6" s="1190">
        <v>27208</v>
      </c>
      <c r="U6" s="1190">
        <f>S6+T6</f>
        <v>509545</v>
      </c>
      <c r="V6" s="1203" t="s">
        <v>575</v>
      </c>
    </row>
    <row r="7" spans="1:24" s="230" customFormat="1" ht="8.1" customHeight="1">
      <c r="A7" s="180"/>
      <c r="B7" s="1192">
        <f>(B6/S6)*100</f>
        <v>14.548127139323752</v>
      </c>
      <c r="C7" s="1192">
        <f>(C6/S6)*100</f>
        <v>3.4859444745064136</v>
      </c>
      <c r="D7" s="1192">
        <f>(D6/S6)*100</f>
        <v>1.4531333901400889</v>
      </c>
      <c r="E7" s="1192">
        <f>(E6/S6)*100</f>
        <v>15.307554676502114</v>
      </c>
      <c r="F7" s="1192">
        <f>(F6/S6)*100</f>
        <v>1.151269755378501</v>
      </c>
      <c r="G7" s="1192">
        <f>(G6/S6)*100</f>
        <v>6.1834360623381581</v>
      </c>
      <c r="H7" s="1192">
        <f>(H6/S6)*100</f>
        <v>12.927061369955032</v>
      </c>
      <c r="I7" s="1192">
        <f>(I6/S6)*100</f>
        <v>0.71879204788353368</v>
      </c>
      <c r="J7" s="1192">
        <f>(J6/S6)*100</f>
        <v>9.6399405394983173</v>
      </c>
      <c r="K7" s="1192">
        <f>(K6/S6)*100</f>
        <v>2.9473169174249541</v>
      </c>
      <c r="L7" s="1192">
        <f>(L6/S6)*100</f>
        <v>7.8648330938741999</v>
      </c>
      <c r="M7" s="1192">
        <f>(M6/S6)*100</f>
        <v>2.9209867789533042</v>
      </c>
      <c r="N7" s="1192">
        <f>(N6/S6)*100</f>
        <v>2.0653609405871829</v>
      </c>
      <c r="O7" s="1192">
        <f>(O6/S6)*100</f>
        <v>1.9256246151549643</v>
      </c>
      <c r="P7" s="1192">
        <f>(P6/S6)*100</f>
        <v>11.734534153506781</v>
      </c>
      <c r="Q7" s="1192">
        <f>(Q6/S6)*100</f>
        <v>94.8739159550273</v>
      </c>
      <c r="R7" s="1192">
        <f>(R6/S6)*100</f>
        <v>5.1260840449727052</v>
      </c>
      <c r="S7" s="1192">
        <f>(S6/S6)*100</f>
        <v>100</v>
      </c>
      <c r="T7" s="1193"/>
      <c r="U7" s="1193"/>
      <c r="V7" s="291"/>
    </row>
    <row r="8" spans="1:24" s="33" customFormat="1" ht="8.1" customHeight="1">
      <c r="A8" s="1194" t="s">
        <v>584</v>
      </c>
      <c r="B8" s="1190">
        <v>79010</v>
      </c>
      <c r="C8" s="1190">
        <v>18890</v>
      </c>
      <c r="D8" s="1190">
        <v>7866</v>
      </c>
      <c r="E8" s="1190">
        <v>87606</v>
      </c>
      <c r="F8" s="1190">
        <v>5720</v>
      </c>
      <c r="G8" s="1190">
        <v>33513</v>
      </c>
      <c r="H8" s="1190">
        <v>72971</v>
      </c>
      <c r="I8" s="1190">
        <v>4069</v>
      </c>
      <c r="J8" s="1190">
        <v>53132</v>
      </c>
      <c r="K8" s="1190">
        <v>16265</v>
      </c>
      <c r="L8" s="1190">
        <v>41337</v>
      </c>
      <c r="M8" s="1190">
        <v>17132</v>
      </c>
      <c r="N8" s="1190">
        <v>11853</v>
      </c>
      <c r="O8" s="1190">
        <v>10453</v>
      </c>
      <c r="P8" s="1190">
        <v>63544</v>
      </c>
      <c r="Q8" s="1191">
        <f>SUM(B8:P8)</f>
        <v>523361</v>
      </c>
      <c r="R8" s="1190">
        <v>26439</v>
      </c>
      <c r="S8" s="1190">
        <f>Q8+R8</f>
        <v>549800</v>
      </c>
      <c r="T8" s="1190">
        <v>35276</v>
      </c>
      <c r="U8" s="1190">
        <f>S8+T8</f>
        <v>585076</v>
      </c>
      <c r="V8" s="1203" t="s">
        <v>584</v>
      </c>
    </row>
    <row r="9" spans="1:24" s="230" customFormat="1" ht="8.1" customHeight="1">
      <c r="A9" s="180"/>
      <c r="B9" s="1192">
        <f>(B8/S8)*100</f>
        <v>14.370680247362678</v>
      </c>
      <c r="C9" s="1192">
        <f>(C8/S8)*100</f>
        <v>3.4357948344852671</v>
      </c>
      <c r="D9" s="1192">
        <f>(D8/S8)*100</f>
        <v>1.4307020734812659</v>
      </c>
      <c r="E9" s="1192">
        <f>(E8/S8)*100</f>
        <v>15.934157875591124</v>
      </c>
      <c r="F9" s="1192">
        <f>(F8/S8)*100</f>
        <v>1.0403783193888687</v>
      </c>
      <c r="G9" s="1192">
        <f>(G8/S8)*100</f>
        <v>6.0954892688250268</v>
      </c>
      <c r="H9" s="1192">
        <f>(H8/S8)*100</f>
        <v>13.272280829392507</v>
      </c>
      <c r="I9" s="1192">
        <f>(I8/S8)*100</f>
        <v>0.74008730447435422</v>
      </c>
      <c r="J9" s="1192">
        <f>(J8/S8)*100</f>
        <v>9.663877773735905</v>
      </c>
      <c r="K9" s="1192">
        <f>(K8/S8)*100</f>
        <v>2.9583484903601307</v>
      </c>
      <c r="L9" s="1192">
        <f>(L8/S8)*100</f>
        <v>7.5185522008002907</v>
      </c>
      <c r="M9" s="1192">
        <f>(M8/S8)*100</f>
        <v>3.1160421971626042</v>
      </c>
      <c r="N9" s="1192">
        <f>(N8/S8)*100</f>
        <v>2.1558748635867588</v>
      </c>
      <c r="O9" s="1192">
        <f>(O8/S8)*100</f>
        <v>1.9012368133866859</v>
      </c>
      <c r="P9" s="1192">
        <f>(P8/S8)*100</f>
        <v>11.557657329938159</v>
      </c>
      <c r="Q9" s="1192">
        <f>(Q8/S8)*100</f>
        <v>95.191160421971617</v>
      </c>
      <c r="R9" s="1192">
        <f>(R8/S8)*100</f>
        <v>4.8088395780283744</v>
      </c>
      <c r="S9" s="1192">
        <f>(S8/S8)*100</f>
        <v>100</v>
      </c>
      <c r="T9" s="1193"/>
      <c r="U9" s="1193"/>
      <c r="V9" s="291"/>
    </row>
    <row r="10" spans="1:24" s="33" customFormat="1" ht="8.1" customHeight="1">
      <c r="A10" s="1194" t="s">
        <v>336</v>
      </c>
      <c r="B10" s="1190">
        <v>89986</v>
      </c>
      <c r="C10" s="1190">
        <v>20635</v>
      </c>
      <c r="D10" s="1190">
        <v>9110</v>
      </c>
      <c r="E10" s="1190">
        <v>101371</v>
      </c>
      <c r="F10" s="1190">
        <v>6441</v>
      </c>
      <c r="G10" s="1190">
        <v>38532</v>
      </c>
      <c r="H10" s="1190">
        <v>86149</v>
      </c>
      <c r="I10" s="1190">
        <v>4826</v>
      </c>
      <c r="J10" s="1190">
        <v>59620</v>
      </c>
      <c r="K10" s="1190">
        <v>18702</v>
      </c>
      <c r="L10" s="1190">
        <v>45118</v>
      </c>
      <c r="M10" s="1190">
        <v>19664</v>
      </c>
      <c r="N10" s="1190">
        <v>14332</v>
      </c>
      <c r="O10" s="1190">
        <v>12164</v>
      </c>
      <c r="P10" s="1190">
        <v>72200</v>
      </c>
      <c r="Q10" s="1191">
        <f>SUM(B10:P10)</f>
        <v>598850</v>
      </c>
      <c r="R10" s="1190">
        <v>29832</v>
      </c>
      <c r="S10" s="1190">
        <f>Q10+R10</f>
        <v>628682</v>
      </c>
      <c r="T10" s="1190">
        <v>48390</v>
      </c>
      <c r="U10" s="1190">
        <f>S10+T10</f>
        <v>677072</v>
      </c>
      <c r="V10" s="1203" t="s">
        <v>336</v>
      </c>
    </row>
    <row r="11" spans="1:24" s="230" customFormat="1" ht="8.1" customHeight="1">
      <c r="A11" s="180"/>
      <c r="B11" s="1192">
        <f>(B10/S10)*100</f>
        <v>14.313436681820061</v>
      </c>
      <c r="C11" s="1192">
        <f>(C10/S10)*100</f>
        <v>3.2822635290973818</v>
      </c>
      <c r="D11" s="1192">
        <f>(D10/S10)*100</f>
        <v>1.4490632784142061</v>
      </c>
      <c r="E11" s="1192">
        <f>(E10/S10)*100</f>
        <v>16.124368122516628</v>
      </c>
      <c r="F11" s="1192">
        <f>(F10/S10)*100</f>
        <v>1.0245243223123932</v>
      </c>
      <c r="G11" s="1192">
        <f>(G10/S10)*100</f>
        <v>6.1290127600281217</v>
      </c>
      <c r="H11" s="1192">
        <f>(H10/S10)*100</f>
        <v>13.703112225258558</v>
      </c>
      <c r="I11" s="1192">
        <f>(I10/S10)*100</f>
        <v>0.76763769282403505</v>
      </c>
      <c r="J11" s="1192">
        <f>(J10/S10)*100</f>
        <v>9.4833317957250252</v>
      </c>
      <c r="K11" s="1192">
        <f>(K10/S10)*100</f>
        <v>2.9747948883537307</v>
      </c>
      <c r="L11" s="1192">
        <f>(L10/S10)*100</f>
        <v>7.1766012069695018</v>
      </c>
      <c r="M11" s="1192">
        <f>(M10/S10)*100</f>
        <v>3.1278134255474148</v>
      </c>
      <c r="N11" s="1192">
        <f>(N10/S10)*100</f>
        <v>2.2796898909146437</v>
      </c>
      <c r="O11" s="1192">
        <f>(O10/S10)*100</f>
        <v>1.9348414619791883</v>
      </c>
      <c r="P11" s="1192">
        <f>(P10/S10)*100</f>
        <v>11.484343435950132</v>
      </c>
      <c r="Q11" s="1192">
        <f>(Q10/S10)*100</f>
        <v>95.25483471771102</v>
      </c>
      <c r="R11" s="1192">
        <f>(R10/S10)*100</f>
        <v>4.7451652822889798</v>
      </c>
      <c r="S11" s="1192">
        <f>(S10/S10)*100</f>
        <v>100</v>
      </c>
      <c r="T11" s="1193"/>
      <c r="U11" s="1193"/>
      <c r="V11" s="291"/>
    </row>
    <row r="12" spans="1:24" s="33" customFormat="1" ht="8.1" customHeight="1">
      <c r="A12" s="1194" t="s">
        <v>85</v>
      </c>
      <c r="B12" s="1190">
        <v>97807</v>
      </c>
      <c r="C12" s="1190">
        <v>22793</v>
      </c>
      <c r="D12" s="1190">
        <v>10963</v>
      </c>
      <c r="E12" s="1190">
        <v>116197</v>
      </c>
      <c r="F12" s="1190">
        <v>7012</v>
      </c>
      <c r="G12" s="1190">
        <v>44180</v>
      </c>
      <c r="H12" s="1190">
        <v>96094</v>
      </c>
      <c r="I12" s="1190">
        <v>5790</v>
      </c>
      <c r="J12" s="1190">
        <v>67185</v>
      </c>
      <c r="K12" s="1190">
        <v>20003</v>
      </c>
      <c r="L12" s="1190">
        <v>49448</v>
      </c>
      <c r="M12" s="1190">
        <v>22464</v>
      </c>
      <c r="N12" s="1190">
        <v>16250</v>
      </c>
      <c r="O12" s="1190">
        <v>13368</v>
      </c>
      <c r="P12" s="1190">
        <v>85366</v>
      </c>
      <c r="Q12" s="1191">
        <f>SUM(B12:P12)</f>
        <v>674920</v>
      </c>
      <c r="R12" s="1190">
        <v>30152</v>
      </c>
      <c r="S12" s="1190">
        <f>Q12+R12</f>
        <v>705072</v>
      </c>
      <c r="T12" s="1190">
        <v>55901</v>
      </c>
      <c r="U12" s="1190">
        <f>S12+T12</f>
        <v>760973</v>
      </c>
      <c r="V12" s="1203" t="s">
        <v>85</v>
      </c>
    </row>
    <row r="13" spans="1:24" s="230" customFormat="1" ht="8.1" customHeight="1">
      <c r="A13" s="180"/>
      <c r="B13" s="1192">
        <f>(B12/S12)*100</f>
        <v>13.871916626954411</v>
      </c>
      <c r="C13" s="1192">
        <f>(C12/S12)*100</f>
        <v>3.2327194953139538</v>
      </c>
      <c r="D13" s="1192">
        <f>(D12/S12)*100</f>
        <v>1.5548766650781765</v>
      </c>
      <c r="E13" s="1192">
        <f>(E12/S12)*100</f>
        <v>16.480160891369959</v>
      </c>
      <c r="F13" s="1192">
        <f>(F12/S12)*100</f>
        <v>0.99450836226654871</v>
      </c>
      <c r="G13" s="1192">
        <f>(G12/S12)*100</f>
        <v>6.266026732021694</v>
      </c>
      <c r="H13" s="1192">
        <f>(H12/S12)*100</f>
        <v>13.628962715864478</v>
      </c>
      <c r="I13" s="1192">
        <f>(I12/S12)*100</f>
        <v>0.82119272925318265</v>
      </c>
      <c r="J13" s="1192">
        <f>(J12/S12)*100</f>
        <v>9.5288140785621902</v>
      </c>
      <c r="K13" s="1192">
        <f>(K12/S12)*100</f>
        <v>2.8370152268137154</v>
      </c>
      <c r="L13" s="1192">
        <f>(L12/S12)*100</f>
        <v>7.0131844691038641</v>
      </c>
      <c r="M13" s="1192">
        <f>(M12/S12)*100</f>
        <v>3.1860575941180476</v>
      </c>
      <c r="N13" s="1192">
        <f>(N12/S12)*100</f>
        <v>2.3047291624117823</v>
      </c>
      <c r="O13" s="1192">
        <f>(O12/S12)*100</f>
        <v>1.8959765811151201</v>
      </c>
      <c r="P13" s="1192">
        <f>(P12/S12)*100</f>
        <v>12.10741598021195</v>
      </c>
      <c r="Q13" s="1192">
        <f>(Q12/S12)*100</f>
        <v>95.723557310459071</v>
      </c>
      <c r="R13" s="1192">
        <f>(R12/S12)*100</f>
        <v>4.276442689540926</v>
      </c>
      <c r="S13" s="1192">
        <f>(S12/S12)*100</f>
        <v>100</v>
      </c>
      <c r="T13" s="1193"/>
      <c r="U13" s="1193"/>
      <c r="V13" s="291"/>
    </row>
    <row r="14" spans="1:24" s="33" customFormat="1" ht="8.1" customHeight="1">
      <c r="A14" s="1195" t="s">
        <v>81</v>
      </c>
      <c r="B14" s="1196">
        <v>110990</v>
      </c>
      <c r="C14" s="1196">
        <v>24601</v>
      </c>
      <c r="D14" s="1196">
        <v>12645</v>
      </c>
      <c r="E14" s="1196">
        <v>128573</v>
      </c>
      <c r="F14" s="1196">
        <v>8346</v>
      </c>
      <c r="G14" s="1196">
        <v>49474</v>
      </c>
      <c r="H14" s="1196">
        <v>106606</v>
      </c>
      <c r="I14" s="1196">
        <v>7028</v>
      </c>
      <c r="J14" s="1196">
        <v>80454</v>
      </c>
      <c r="K14" s="1196">
        <v>23448</v>
      </c>
      <c r="L14" s="1196">
        <v>54432</v>
      </c>
      <c r="M14" s="1196">
        <v>25426</v>
      </c>
      <c r="N14" s="1196">
        <v>18257</v>
      </c>
      <c r="O14" s="1196">
        <v>15326</v>
      </c>
      <c r="P14" s="1196">
        <v>95692</v>
      </c>
      <c r="Q14" s="1191">
        <f>SUM(B14:P14)</f>
        <v>761298</v>
      </c>
      <c r="R14" s="1196">
        <v>36241</v>
      </c>
      <c r="S14" s="1190">
        <f>Q14+R14</f>
        <v>797539</v>
      </c>
      <c r="T14" s="1196">
        <v>64604</v>
      </c>
      <c r="U14" s="1190">
        <f>S14+T14</f>
        <v>862143</v>
      </c>
      <c r="V14" s="1240" t="s">
        <v>81</v>
      </c>
    </row>
    <row r="15" spans="1:24" s="230" customFormat="1" ht="8.1" customHeight="1">
      <c r="A15" s="180"/>
      <c r="B15" s="1192">
        <f>(B14/S14)*100</f>
        <v>13.916560820223211</v>
      </c>
      <c r="C15" s="1192">
        <f>(C14/S14)*100</f>
        <v>3.0846140439527097</v>
      </c>
      <c r="D15" s="1192">
        <f>(D14/S14)*100</f>
        <v>1.5855024017634247</v>
      </c>
      <c r="E15" s="1192">
        <f>(E14/S14)*100</f>
        <v>16.121217896554274</v>
      </c>
      <c r="F15" s="1192">
        <f>(F14/S14)*100</f>
        <v>1.0464692008792047</v>
      </c>
      <c r="G15" s="1192">
        <f>(G14/S14)*100</f>
        <v>6.2033330031509433</v>
      </c>
      <c r="H15" s="1192">
        <f>(H14/S14)*100</f>
        <v>13.366869833324765</v>
      </c>
      <c r="I15" s="1192">
        <f>(I14/S14)*100</f>
        <v>0.8812108247997904</v>
      </c>
      <c r="J15" s="1192">
        <f>(J14/S14)*100</f>
        <v>10.08778254104188</v>
      </c>
      <c r="K15" s="1192">
        <f>(K14/S14)*100</f>
        <v>2.9400443113126755</v>
      </c>
      <c r="L15" s="1192">
        <f>(L14/S14)*100</f>
        <v>6.8249953920748698</v>
      </c>
      <c r="M15" s="1192">
        <f>(M14/S14)*100</f>
        <v>3.1880572611496114</v>
      </c>
      <c r="N15" s="1192">
        <f>(N14/S14)*100</f>
        <v>2.289167050137987</v>
      </c>
      <c r="O15" s="1192">
        <f>(O14/S14)*100</f>
        <v>1.9216615112239026</v>
      </c>
      <c r="P15" s="1192">
        <f>(P14/S14)*100</f>
        <v>11.998410109098113</v>
      </c>
      <c r="Q15" s="1192">
        <f>(Q14/S14)*100</f>
        <v>95.455896200687363</v>
      </c>
      <c r="R15" s="1192">
        <f>(R14/S14)*100</f>
        <v>4.5441037993126354</v>
      </c>
      <c r="S15" s="1192">
        <f>(S14/S14)*100</f>
        <v>100</v>
      </c>
      <c r="T15" s="1193"/>
      <c r="U15" s="1193"/>
      <c r="V15" s="291"/>
    </row>
    <row r="16" spans="1:24" s="33" customFormat="1" ht="8.1" customHeight="1">
      <c r="A16" s="1194" t="s">
        <v>192</v>
      </c>
      <c r="B16" s="1190">
        <v>125469</v>
      </c>
      <c r="C16" s="1190">
        <v>28482</v>
      </c>
      <c r="D16" s="1190">
        <v>14208</v>
      </c>
      <c r="E16" s="1190">
        <v>146503</v>
      </c>
      <c r="F16" s="1190">
        <v>11589</v>
      </c>
      <c r="G16" s="1190">
        <v>57072</v>
      </c>
      <c r="H16" s="1190">
        <v>121332</v>
      </c>
      <c r="I16" s="1190">
        <v>8228</v>
      </c>
      <c r="J16" s="1190">
        <v>94571</v>
      </c>
      <c r="K16" s="1190">
        <v>27545</v>
      </c>
      <c r="L16" s="1190">
        <v>60119</v>
      </c>
      <c r="M16" s="1190">
        <v>30282</v>
      </c>
      <c r="N16" s="1190">
        <v>21392</v>
      </c>
      <c r="O16" s="1190">
        <v>17731</v>
      </c>
      <c r="P16" s="1190">
        <v>104608</v>
      </c>
      <c r="Q16" s="1191">
        <f>SUM(B16:P16)</f>
        <v>869131</v>
      </c>
      <c r="R16" s="1190">
        <v>46698</v>
      </c>
      <c r="S16" s="1190">
        <f>Q16+R16</f>
        <v>915829</v>
      </c>
      <c r="T16" s="1190">
        <v>72513</v>
      </c>
      <c r="U16" s="1190">
        <f>S16+T16</f>
        <v>988342</v>
      </c>
      <c r="V16" s="1203" t="s">
        <v>192</v>
      </c>
    </row>
    <row r="17" spans="1:22" s="230" customFormat="1" ht="8.1" customHeight="1">
      <c r="A17" s="180"/>
      <c r="B17" s="1192">
        <f>(B16/S16)*100</f>
        <v>13.700046624424427</v>
      </c>
      <c r="C17" s="1192">
        <f>(C16/S16)*100</f>
        <v>3.109969219144622</v>
      </c>
      <c r="D17" s="1192">
        <f>(D16/S16)*100</f>
        <v>1.5513813168178776</v>
      </c>
      <c r="E17" s="1192">
        <f>(E16/S16)*100</f>
        <v>15.996763587962381</v>
      </c>
      <c r="F17" s="1192">
        <f>(F16/S16)*100</f>
        <v>1.2654109009432983</v>
      </c>
      <c r="G17" s="1192">
        <f>(G16/S16)*100</f>
        <v>6.2317310327582991</v>
      </c>
      <c r="H17" s="1192">
        <f>(H16/S16)*100</f>
        <v>13.248324741845913</v>
      </c>
      <c r="I17" s="1192">
        <f>(I16/S16)*100</f>
        <v>0.89842099343873139</v>
      </c>
      <c r="J17" s="1192">
        <f>(J16/S16)*100</f>
        <v>10.326272699379469</v>
      </c>
      <c r="K17" s="1192">
        <f>(K16/S16)*100</f>
        <v>3.0076575430566188</v>
      </c>
      <c r="L17" s="1192">
        <f>(L16/S16)*100</f>
        <v>6.5644350637509845</v>
      </c>
      <c r="M17" s="1192">
        <f>(M16/S16)*100</f>
        <v>3.3065124602955356</v>
      </c>
      <c r="N17" s="1192">
        <f>(N16/S16)*100</f>
        <v>2.3358072303890793</v>
      </c>
      <c r="O17" s="1192">
        <f>(O16/S16)*100</f>
        <v>1.9360601160260269</v>
      </c>
      <c r="P17" s="1192">
        <f>(P16/S16)*100</f>
        <v>11.422219650174869</v>
      </c>
      <c r="Q17" s="1192">
        <f>(Q16/S16)*100</f>
        <v>94.901013180408128</v>
      </c>
      <c r="R17" s="1192">
        <f>(R16/S16)*100</f>
        <v>5.0989868195918673</v>
      </c>
      <c r="S17" s="1192">
        <f>(S16/S16)*100</f>
        <v>100</v>
      </c>
      <c r="T17" s="1193"/>
      <c r="U17" s="1193"/>
      <c r="V17" s="291"/>
    </row>
    <row r="18" spans="1:22" s="33" customFormat="1" ht="8.1" customHeight="1">
      <c r="A18" s="1194" t="s">
        <v>757</v>
      </c>
      <c r="B18" s="1190">
        <v>138879</v>
      </c>
      <c r="C18" s="1190">
        <v>31827</v>
      </c>
      <c r="D18" s="1190">
        <v>16650</v>
      </c>
      <c r="E18" s="1190">
        <v>167928</v>
      </c>
      <c r="F18" s="1190">
        <v>14189</v>
      </c>
      <c r="G18" s="1190">
        <v>68305</v>
      </c>
      <c r="H18" s="1190">
        <v>137396</v>
      </c>
      <c r="I18" s="1190">
        <v>9755</v>
      </c>
      <c r="J18" s="1190">
        <v>112702</v>
      </c>
      <c r="K18" s="1190">
        <v>36316</v>
      </c>
      <c r="L18" s="1190">
        <v>68715</v>
      </c>
      <c r="M18" s="1190">
        <v>33499</v>
      </c>
      <c r="N18" s="1190">
        <v>25048</v>
      </c>
      <c r="O18" s="1190">
        <v>20133</v>
      </c>
      <c r="P18" s="1190">
        <v>117293</v>
      </c>
      <c r="Q18" s="1191">
        <f>SUM(B18:P18)</f>
        <v>998635</v>
      </c>
      <c r="R18" s="1190">
        <v>56569</v>
      </c>
      <c r="S18" s="1190">
        <f>Q18+R18</f>
        <v>1055204</v>
      </c>
      <c r="T18" s="1190">
        <v>89302</v>
      </c>
      <c r="U18" s="1190">
        <f>S18+T18</f>
        <v>1144506</v>
      </c>
      <c r="V18" s="1203" t="s">
        <v>757</v>
      </c>
    </row>
    <row r="19" spans="1:22" s="230" customFormat="1" ht="8.1" customHeight="1">
      <c r="A19" s="180"/>
      <c r="B19" s="1192">
        <f>(B18/S18)*100</f>
        <v>13.161341314096612</v>
      </c>
      <c r="C19" s="1192">
        <f>(C18/S18)*100</f>
        <v>3.0161940250416035</v>
      </c>
      <c r="D19" s="1192">
        <f>(D18/S18)*100</f>
        <v>1.5778939427826277</v>
      </c>
      <c r="E19" s="1192">
        <f>(E18/S18)*100</f>
        <v>15.914268710126194</v>
      </c>
      <c r="F19" s="1192">
        <f>(F18/S18)*100</f>
        <v>1.344668898146709</v>
      </c>
      <c r="G19" s="1192">
        <f>(G18/S18)*100</f>
        <v>6.473155901607651</v>
      </c>
      <c r="H19" s="1192">
        <f>(H18/S18)*100</f>
        <v>13.02079976952324</v>
      </c>
      <c r="I19" s="1192">
        <f>(I18/S18)*100</f>
        <v>0.92446579050117317</v>
      </c>
      <c r="J19" s="1192">
        <f>(J18/S18)*100</f>
        <v>10.68058877714641</v>
      </c>
      <c r="K19" s="1192">
        <f>(K18/S18)*100</f>
        <v>3.441609394960595</v>
      </c>
      <c r="L19" s="1192">
        <f>(L18/S18)*100</f>
        <v>6.5120109476461421</v>
      </c>
      <c r="M19" s="1192">
        <f>(M18/S18)*100</f>
        <v>3.17464679815467</v>
      </c>
      <c r="N19" s="1192">
        <f>(N18/S18)*100</f>
        <v>2.3737590077368926</v>
      </c>
      <c r="O19" s="1192">
        <f>(O18/S18)*100</f>
        <v>1.9079722972998585</v>
      </c>
      <c r="P19" s="1192">
        <f>(P18/S18)*100</f>
        <v>11.115670524372538</v>
      </c>
      <c r="Q19" s="1192">
        <f>(Q18/S18)*100</f>
        <v>94.639046099142917</v>
      </c>
      <c r="R19" s="1192">
        <f>(R18/S18)*100</f>
        <v>5.3609539008570861</v>
      </c>
      <c r="S19" s="1192">
        <f>(S18/S18)*100</f>
        <v>100</v>
      </c>
      <c r="T19" s="1193"/>
      <c r="U19" s="1193"/>
      <c r="V19" s="291"/>
    </row>
    <row r="20" spans="1:22" s="33" customFormat="1" ht="8.1" customHeight="1">
      <c r="A20" s="1194" t="s">
        <v>866</v>
      </c>
      <c r="B20" s="1190">
        <v>148758</v>
      </c>
      <c r="C20" s="1190">
        <v>36995</v>
      </c>
      <c r="D20" s="1190">
        <v>19461</v>
      </c>
      <c r="E20" s="1190">
        <v>197127</v>
      </c>
      <c r="F20" s="1190">
        <v>16381</v>
      </c>
      <c r="G20" s="1190">
        <v>82432</v>
      </c>
      <c r="H20" s="1190">
        <v>154579</v>
      </c>
      <c r="I20" s="1190">
        <v>11263</v>
      </c>
      <c r="J20" s="1190">
        <v>124281</v>
      </c>
      <c r="K20" s="1190">
        <v>42237</v>
      </c>
      <c r="L20" s="1190">
        <v>78820</v>
      </c>
      <c r="M20" s="1190">
        <v>37678</v>
      </c>
      <c r="N20" s="1190">
        <v>28429</v>
      </c>
      <c r="O20" s="1190">
        <v>23868</v>
      </c>
      <c r="P20" s="1190">
        <v>138952</v>
      </c>
      <c r="Q20" s="1191">
        <f>SUM(B20:P20)</f>
        <v>1141261</v>
      </c>
      <c r="R20" s="1190">
        <v>57662</v>
      </c>
      <c r="S20" s="1190">
        <f>Q20+R20</f>
        <v>1198923</v>
      </c>
      <c r="T20" s="1190">
        <v>96429</v>
      </c>
      <c r="U20" s="1190">
        <f>S20+T20</f>
        <v>1295352</v>
      </c>
      <c r="V20" s="1203" t="s">
        <v>866</v>
      </c>
    </row>
    <row r="21" spans="1:22" s="230" customFormat="1" ht="8.1" customHeight="1">
      <c r="A21" s="180"/>
      <c r="B21" s="1192">
        <f>(B20/S20)*100</f>
        <v>12.407635853178228</v>
      </c>
      <c r="C21" s="1192">
        <f>(C20/S20)*100</f>
        <v>3.0856860699144151</v>
      </c>
      <c r="D21" s="1192">
        <f>(D20/S20)*100</f>
        <v>1.623206828128245</v>
      </c>
      <c r="E21" s="1192">
        <f>(E20/S20)*100</f>
        <v>16.442006701014162</v>
      </c>
      <c r="F21" s="1192">
        <f>(F20/S20)*100</f>
        <v>1.3663095961959191</v>
      </c>
      <c r="G21" s="1192">
        <f>(G20/S20)*100</f>
        <v>6.8755040982615228</v>
      </c>
      <c r="H21" s="1192">
        <f>(H20/S20)*100</f>
        <v>12.893154939891888</v>
      </c>
      <c r="I21" s="1192">
        <f>(I20/S20)*100</f>
        <v>0.93942646858889178</v>
      </c>
      <c r="J21" s="1192">
        <f>(J20/S20)*100</f>
        <v>10.366053533045909</v>
      </c>
      <c r="K21" s="1192">
        <f>(K20/S20)*100</f>
        <v>3.5229118133524842</v>
      </c>
      <c r="L21" s="1192">
        <f>(L20/S20)*100</f>
        <v>6.5742337080863411</v>
      </c>
      <c r="M21" s="1192">
        <f>(M20/S20)*100</f>
        <v>3.1426538651773299</v>
      </c>
      <c r="N21" s="1192">
        <f>(N20/S20)*100</f>
        <v>2.3712114956506798</v>
      </c>
      <c r="O21" s="1192">
        <f>(O20/S20)*100</f>
        <v>1.9907867310911542</v>
      </c>
      <c r="P21" s="1192">
        <f>(P20/S20)*100</f>
        <v>11.589735120604075</v>
      </c>
      <c r="Q21" s="1192">
        <f>(Q20/S20)*100</f>
        <v>95.190516822181237</v>
      </c>
      <c r="R21" s="1192">
        <f>(R20/S20)*100</f>
        <v>4.809483177818759</v>
      </c>
      <c r="S21" s="1192">
        <f>(S20/S20)*100</f>
        <v>100</v>
      </c>
      <c r="T21" s="1193"/>
      <c r="U21" s="1193"/>
      <c r="V21" s="291"/>
    </row>
    <row r="22" spans="1:22" s="33" customFormat="1" ht="8.1" customHeight="1">
      <c r="A22" s="1197" t="s">
        <v>1051</v>
      </c>
      <c r="B22" s="1190">
        <v>163968</v>
      </c>
      <c r="C22" s="1190">
        <v>42308</v>
      </c>
      <c r="D22" s="1190">
        <v>21080</v>
      </c>
      <c r="E22" s="1190">
        <v>223221</v>
      </c>
      <c r="F22" s="1190">
        <v>18401</v>
      </c>
      <c r="G22" s="1190">
        <v>90834</v>
      </c>
      <c r="H22" s="1190">
        <v>172575</v>
      </c>
      <c r="I22" s="1190">
        <v>13035</v>
      </c>
      <c r="J22" s="1190">
        <v>134317</v>
      </c>
      <c r="K22" s="1190">
        <v>48563</v>
      </c>
      <c r="L22" s="1190">
        <v>91229</v>
      </c>
      <c r="M22" s="1190">
        <v>44728</v>
      </c>
      <c r="N22" s="1190">
        <v>32767</v>
      </c>
      <c r="O22" s="1190">
        <v>26924</v>
      </c>
      <c r="P22" s="1190">
        <v>156551</v>
      </c>
      <c r="Q22" s="1191">
        <f>SUM(B22:P22)</f>
        <v>1280501</v>
      </c>
      <c r="R22" s="1190">
        <v>63173</v>
      </c>
      <c r="S22" s="1190">
        <f>Q22+R22</f>
        <v>1343674</v>
      </c>
      <c r="T22" s="1190">
        <v>89549</v>
      </c>
      <c r="U22" s="1190">
        <f>S22+T22</f>
        <v>1433223</v>
      </c>
      <c r="V22" s="1203" t="s">
        <v>1051</v>
      </c>
    </row>
    <row r="23" spans="1:22" s="230" customFormat="1" ht="8.1" customHeight="1">
      <c r="A23" s="180"/>
      <c r="B23" s="1192">
        <f>(B22/S22)*100</f>
        <v>12.20295994415312</v>
      </c>
      <c r="C23" s="1192">
        <f>(C22/S22)*100</f>
        <v>3.1486804090873233</v>
      </c>
      <c r="D23" s="1192">
        <f>(D22/S22)*100</f>
        <v>1.5688329163174994</v>
      </c>
      <c r="E23" s="1192">
        <f>(E22/S22)*100</f>
        <v>16.612734934217674</v>
      </c>
      <c r="F23" s="1192">
        <f>(F22/S22)*100</f>
        <v>1.3694541979676618</v>
      </c>
      <c r="G23" s="1192">
        <f>(G22/S22)*100</f>
        <v>6.7601218747999887</v>
      </c>
      <c r="H23" s="1192">
        <f>(H22/S22)*100</f>
        <v>12.843517103106855</v>
      </c>
      <c r="I23" s="1192">
        <f>(I22/S22)*100</f>
        <v>0.9701013787570496</v>
      </c>
      <c r="J23" s="1192">
        <f>(J22/S22)*100</f>
        <v>9.9962490901811005</v>
      </c>
      <c r="K23" s="1192">
        <f>(K22/S22)*100</f>
        <v>3.6141951098257463</v>
      </c>
      <c r="L23" s="1192">
        <f>(L22/S22)*100</f>
        <v>6.7895188862774747</v>
      </c>
      <c r="M23" s="1192">
        <f>(M22/S22)*100</f>
        <v>3.3287836186455944</v>
      </c>
      <c r="N23" s="1192">
        <f>(N22/S22)*100</f>
        <v>2.4386123419817602</v>
      </c>
      <c r="O23" s="1192">
        <f>(O22/S22)*100</f>
        <v>2.0037598405565635</v>
      </c>
      <c r="P23" s="1192">
        <f>(P22/S22)*100</f>
        <v>11.650965933701181</v>
      </c>
      <c r="Q23" s="1192">
        <f>(Q22/S22)*100</f>
        <v>95.298487579576602</v>
      </c>
      <c r="R23" s="1192">
        <f>(R22/S22)*100</f>
        <v>4.7015124204234064</v>
      </c>
      <c r="S23" s="1192">
        <f>(S22/S22)*100</f>
        <v>100</v>
      </c>
      <c r="T23" s="1193"/>
      <c r="U23" s="1193"/>
      <c r="V23" s="291"/>
    </row>
    <row r="24" spans="1:22" s="230" customFormat="1" ht="8.1" customHeight="1">
      <c r="A24" s="1198" t="s">
        <v>1105</v>
      </c>
      <c r="B24" s="1190">
        <v>176500</v>
      </c>
      <c r="C24" s="1190">
        <v>47581</v>
      </c>
      <c r="D24" s="1190">
        <v>23876</v>
      </c>
      <c r="E24" s="1190">
        <v>254483</v>
      </c>
      <c r="F24" s="1190">
        <v>19868</v>
      </c>
      <c r="G24" s="1190">
        <v>108484</v>
      </c>
      <c r="H24" s="1190">
        <v>192585</v>
      </c>
      <c r="I24" s="1190">
        <v>14928</v>
      </c>
      <c r="J24" s="1190">
        <v>150025</v>
      </c>
      <c r="K24" s="1190">
        <v>55761</v>
      </c>
      <c r="L24" s="1190">
        <v>106061</v>
      </c>
      <c r="M24" s="1190">
        <v>50674</v>
      </c>
      <c r="N24" s="1190">
        <v>37624</v>
      </c>
      <c r="O24" s="1190">
        <v>30135</v>
      </c>
      <c r="P24" s="1190">
        <v>176402</v>
      </c>
      <c r="Q24" s="1191">
        <f>SUM(B24:P24)</f>
        <v>1444987</v>
      </c>
      <c r="R24" s="1190">
        <v>70815</v>
      </c>
      <c r="S24" s="1190">
        <f>Q24+R24</f>
        <v>1515802</v>
      </c>
      <c r="T24" s="1190">
        <v>98402</v>
      </c>
      <c r="U24" s="1190">
        <f>S24+T24</f>
        <v>1614204</v>
      </c>
      <c r="V24" s="1241" t="s">
        <v>1105</v>
      </c>
    </row>
    <row r="25" spans="1:22" s="180" customFormat="1" ht="8.1" customHeight="1">
      <c r="B25" s="1192">
        <f>(B24/S24)*100</f>
        <v>11.644000997491757</v>
      </c>
      <c r="C25" s="1192">
        <f>(C24/S24)*100</f>
        <v>3.1389983652218429</v>
      </c>
      <c r="D25" s="1192">
        <f>(D24/S24)*100</f>
        <v>1.5751397609978086</v>
      </c>
      <c r="E25" s="1192">
        <f>(E24/S24)*100</f>
        <v>16.788670288071923</v>
      </c>
      <c r="F25" s="1192">
        <f>(F24/S24)*100</f>
        <v>1.3107252794230382</v>
      </c>
      <c r="G25" s="1192">
        <f>(G24/S24)*100</f>
        <v>7.1568714119654153</v>
      </c>
      <c r="H25" s="1192">
        <f>(H24/S24)*100</f>
        <v>12.705155422673938</v>
      </c>
      <c r="I25" s="1192">
        <f>(I24/S24)*100</f>
        <v>0.9848251948473481</v>
      </c>
      <c r="J25" s="1192">
        <f>(J24/S24)*100</f>
        <v>9.8974008478679938</v>
      </c>
      <c r="K25" s="1192">
        <f>(K24/S24)*100</f>
        <v>3.6786466834058804</v>
      </c>
      <c r="L25" s="1192">
        <f>(L24/S24)*100</f>
        <v>6.9970220384984323</v>
      </c>
      <c r="M25" s="1192">
        <f>(M24/S24)*100</f>
        <v>3.3430487623053673</v>
      </c>
      <c r="N25" s="1192">
        <f>(N24/S24)*100</f>
        <v>2.4821183769384128</v>
      </c>
      <c r="O25" s="1192">
        <f>(O24/S24)*100</f>
        <v>1.9880564875887483</v>
      </c>
      <c r="P25" s="1192">
        <f>(P24/S24)*100</f>
        <v>11.637535773141874</v>
      </c>
      <c r="Q25" s="1192">
        <f>(Q24/S24)*100</f>
        <v>95.328215690439777</v>
      </c>
      <c r="R25" s="1192">
        <f>(R24/S24)*100</f>
        <v>4.6717843095602198</v>
      </c>
      <c r="S25" s="1192">
        <f>(S24/S24)*100</f>
        <v>100</v>
      </c>
      <c r="T25" s="1193"/>
      <c r="U25" s="1193"/>
      <c r="V25" s="291"/>
    </row>
    <row r="26" spans="1:22" s="66" customFormat="1" ht="8.1" customHeight="1">
      <c r="A26" s="1198" t="s">
        <v>1231</v>
      </c>
      <c r="B26" s="1190">
        <v>190315</v>
      </c>
      <c r="C26" s="1190">
        <v>53076</v>
      </c>
      <c r="D26" s="1190">
        <v>28578</v>
      </c>
      <c r="E26" s="1190">
        <v>295111</v>
      </c>
      <c r="F26" s="1190">
        <v>23829</v>
      </c>
      <c r="G26" s="1190">
        <v>126353</v>
      </c>
      <c r="H26" s="1190">
        <v>214257</v>
      </c>
      <c r="I26" s="1190">
        <v>17058</v>
      </c>
      <c r="J26" s="1190">
        <v>169165</v>
      </c>
      <c r="K26" s="1190">
        <v>63601</v>
      </c>
      <c r="L26" s="1190">
        <v>123740</v>
      </c>
      <c r="M26" s="1190">
        <v>66711</v>
      </c>
      <c r="N26" s="1190">
        <v>46512</v>
      </c>
      <c r="O26" s="1190">
        <v>34758</v>
      </c>
      <c r="P26" s="1190">
        <v>194248</v>
      </c>
      <c r="Q26" s="1191">
        <f>SUM(B26:P26)</f>
        <v>1647312</v>
      </c>
      <c r="R26" s="1190">
        <v>85552</v>
      </c>
      <c r="S26" s="1190">
        <f>Q26+R26</f>
        <v>1732864</v>
      </c>
      <c r="T26" s="1190">
        <v>99811</v>
      </c>
      <c r="U26" s="1190">
        <f>S26+T26</f>
        <v>1832675</v>
      </c>
      <c r="V26" s="1241" t="s">
        <v>1231</v>
      </c>
    </row>
    <row r="27" spans="1:22" s="180" customFormat="1" ht="8.1" customHeight="1">
      <c r="B27" s="1192">
        <f>(B26/S26)*100</f>
        <v>10.982685311715173</v>
      </c>
      <c r="C27" s="1192">
        <f>(C26/S26)*100</f>
        <v>3.0629062638499041</v>
      </c>
      <c r="D27" s="1192">
        <f>(D26/S26)*100</f>
        <v>1.6491773157039444</v>
      </c>
      <c r="E27" s="1192">
        <f>(E26/S26)*100</f>
        <v>17.030245881961886</v>
      </c>
      <c r="F27" s="1192">
        <f>(F26/S26)*100</f>
        <v>1.375122340818437</v>
      </c>
      <c r="G27" s="1192">
        <f>(G26/S26)*100</f>
        <v>7.2915704867779585</v>
      </c>
      <c r="H27" s="1192">
        <f>(H26/S26)*100</f>
        <v>12.364328648988034</v>
      </c>
      <c r="I27" s="1192">
        <f>(I26/S26)*100</f>
        <v>0.98438192495198706</v>
      </c>
      <c r="J27" s="1192">
        <f>(J26/S26)*100</f>
        <v>9.7621625240065004</v>
      </c>
      <c r="K27" s="1192">
        <f>(K26/S26)*100</f>
        <v>3.6702822610429906</v>
      </c>
      <c r="L27" s="1192">
        <f>(L26/S26)*100</f>
        <v>7.1407796572610422</v>
      </c>
      <c r="M27" s="1192">
        <f>(M26/S26)*100</f>
        <v>3.8497539333727286</v>
      </c>
      <c r="N27" s="1192">
        <f>(N26/S26)*100</f>
        <v>2.6841113901610281</v>
      </c>
      <c r="O27" s="1192">
        <f>(O26/S26)*100</f>
        <v>2.0058123430344215</v>
      </c>
      <c r="P27" s="1192">
        <f>(P26/S26)*100</f>
        <v>11.209650613089082</v>
      </c>
      <c r="Q27" s="1192">
        <f>(Q26/S26)*100</f>
        <v>95.062970896735109</v>
      </c>
      <c r="R27" s="1192">
        <f>(R26/S26)*100</f>
        <v>4.9370291032648836</v>
      </c>
      <c r="S27" s="1192">
        <f>(S26/S26)*100</f>
        <v>100</v>
      </c>
      <c r="T27" s="1193"/>
      <c r="U27" s="1193"/>
      <c r="V27" s="291"/>
    </row>
    <row r="28" spans="1:22" s="66" customFormat="1" ht="8.1" customHeight="1">
      <c r="A28" s="1194" t="s">
        <v>1263</v>
      </c>
      <c r="B28" s="1190">
        <v>205398</v>
      </c>
      <c r="C28" s="1190">
        <v>59627</v>
      </c>
      <c r="D28" s="1190">
        <v>34127</v>
      </c>
      <c r="E28" s="1190">
        <v>341829</v>
      </c>
      <c r="F28" s="1190">
        <v>26244</v>
      </c>
      <c r="G28" s="1190">
        <v>146107</v>
      </c>
      <c r="H28" s="1190">
        <v>243958</v>
      </c>
      <c r="I28" s="1190">
        <v>19318</v>
      </c>
      <c r="J28" s="1190">
        <v>187076</v>
      </c>
      <c r="K28" s="1190">
        <v>73205</v>
      </c>
      <c r="L28" s="1190">
        <v>144539</v>
      </c>
      <c r="M28" s="1190">
        <v>78441</v>
      </c>
      <c r="N28" s="1190">
        <v>56856</v>
      </c>
      <c r="O28" s="1190">
        <v>38987</v>
      </c>
      <c r="P28" s="1190">
        <v>214213</v>
      </c>
      <c r="Q28" s="1191">
        <f>SUM(B28:P28)</f>
        <v>1869925</v>
      </c>
      <c r="R28" s="1190">
        <v>105892</v>
      </c>
      <c r="S28" s="1190">
        <f>Q28+R28</f>
        <v>1975817</v>
      </c>
      <c r="T28" s="1190">
        <v>84901</v>
      </c>
      <c r="U28" s="1190">
        <f>S28+T28</f>
        <v>2060718</v>
      </c>
      <c r="V28" s="1203" t="s">
        <v>1263</v>
      </c>
    </row>
    <row r="29" spans="1:22" s="180" customFormat="1" ht="8.1" customHeight="1">
      <c r="B29" s="1192">
        <f>(B28/S28)*100</f>
        <v>10.395598377784987</v>
      </c>
      <c r="C29" s="1192">
        <f>(C28/S28)*100</f>
        <v>3.017840214959179</v>
      </c>
      <c r="D29" s="1192">
        <f>(D28/S28)*100</f>
        <v>1.7272348603134806</v>
      </c>
      <c r="E29" s="1192">
        <f>(E28/S28)*100</f>
        <v>17.300640696987628</v>
      </c>
      <c r="F29" s="1192">
        <f>(F28/S28)*100</f>
        <v>1.3282606638165377</v>
      </c>
      <c r="G29" s="1192">
        <f>(G28/S28)*100</f>
        <v>7.3947637863223159</v>
      </c>
      <c r="H29" s="1192">
        <f>(H28/S28)*100</f>
        <v>12.34719612190805</v>
      </c>
      <c r="I29" s="1192">
        <f>(I28/S28)*100</f>
        <v>0.97772212709982753</v>
      </c>
      <c r="J29" s="1192">
        <f>(J28/S28)*100</f>
        <v>9.4682857774783802</v>
      </c>
      <c r="K29" s="1192">
        <f>(K28/S28)*100</f>
        <v>3.7050496073269943</v>
      </c>
      <c r="L29" s="1192">
        <f>(L28/S28)*100</f>
        <v>7.315404210005279</v>
      </c>
      <c r="M29" s="1192">
        <f>(M28/S28)*100</f>
        <v>3.9700539068142442</v>
      </c>
      <c r="N29" s="1192">
        <f>(N28/S28)*100</f>
        <v>2.8775944330876797</v>
      </c>
      <c r="O29" s="1192">
        <f>(O28/S28)*100</f>
        <v>1.9732090573165428</v>
      </c>
      <c r="P29" s="1192">
        <f>(P28/S28)*100</f>
        <v>10.841742934694864</v>
      </c>
      <c r="Q29" s="1192">
        <f>(Q28/S28)*100</f>
        <v>94.640596775915981</v>
      </c>
      <c r="R29" s="1192">
        <f>(R28/S28)*100</f>
        <v>5.3594032240840122</v>
      </c>
      <c r="S29" s="1192">
        <f>(S28/S28)*100</f>
        <v>100</v>
      </c>
      <c r="T29" s="1193"/>
      <c r="U29" s="1193"/>
      <c r="V29" s="291"/>
    </row>
    <row r="30" spans="1:22" s="66" customFormat="1" ht="8.1" customHeight="1">
      <c r="A30" s="1194" t="s">
        <v>1392</v>
      </c>
      <c r="B30" s="1190">
        <v>227353</v>
      </c>
      <c r="C30" s="1190">
        <v>66882</v>
      </c>
      <c r="D30" s="1190">
        <v>38884</v>
      </c>
      <c r="E30" s="1190">
        <v>404144</v>
      </c>
      <c r="F30" s="1190">
        <v>29336</v>
      </c>
      <c r="G30" s="1190">
        <v>169855</v>
      </c>
      <c r="H30" s="1190">
        <v>279823</v>
      </c>
      <c r="I30" s="1190">
        <v>22123</v>
      </c>
      <c r="J30" s="1190">
        <v>204630</v>
      </c>
      <c r="K30" s="1190">
        <v>83728</v>
      </c>
      <c r="L30" s="1190">
        <v>166419</v>
      </c>
      <c r="M30" s="1196">
        <v>90228</v>
      </c>
      <c r="N30" s="1190">
        <v>64478</v>
      </c>
      <c r="O30" s="1190">
        <v>44064</v>
      </c>
      <c r="P30" s="1190">
        <v>236378</v>
      </c>
      <c r="Q30" s="1191">
        <f>SUM(B30:P30)</f>
        <v>2128325</v>
      </c>
      <c r="R30" s="1190">
        <v>122156</v>
      </c>
      <c r="S30" s="1190">
        <f>Q30+R30</f>
        <v>2250481</v>
      </c>
      <c r="T30" s="1190">
        <v>102628</v>
      </c>
      <c r="U30" s="1190">
        <f>S30+T30</f>
        <v>2353109</v>
      </c>
      <c r="V30" s="1203" t="s">
        <v>1392</v>
      </c>
    </row>
    <row r="31" spans="1:22" s="180" customFormat="1" ht="8.1" customHeight="1">
      <c r="B31" s="1192">
        <f>(B30/S30)*100</f>
        <v>10.102418105285048</v>
      </c>
      <c r="C31" s="1192">
        <f>(C30/S30)*100</f>
        <v>2.97189800758149</v>
      </c>
      <c r="D31" s="1192">
        <f>(D30/S30)*100</f>
        <v>1.7278084107353049</v>
      </c>
      <c r="E31" s="1192">
        <f>(E30/S30)*100</f>
        <v>17.958116509315118</v>
      </c>
      <c r="F31" s="1192">
        <f>(F30/S30)*100</f>
        <v>1.3035435535781019</v>
      </c>
      <c r="G31" s="1192">
        <f>(G30/S30)*100</f>
        <v>7.5474976238413038</v>
      </c>
      <c r="H31" s="1192">
        <f>(H30/S30)*100</f>
        <v>12.433919682059081</v>
      </c>
      <c r="I31" s="1192">
        <f>(I30/S30)*100</f>
        <v>0.98303429355768834</v>
      </c>
      <c r="J31" s="1192">
        <f>(J30/S30)*100</f>
        <v>9.0927228445830028</v>
      </c>
      <c r="K31" s="1192">
        <f>(K30/S30)*100</f>
        <v>3.7204490951045575</v>
      </c>
      <c r="L31" s="1192">
        <f>(L30/S30)*100</f>
        <v>7.3948191519946178</v>
      </c>
      <c r="M31" s="1192">
        <f>(M30/S30)*100</f>
        <v>4.0092762391684262</v>
      </c>
      <c r="N31" s="1192">
        <f>(N30/S30)*100</f>
        <v>2.8650763992230996</v>
      </c>
      <c r="O31" s="1192">
        <f>(O30/S30)*100</f>
        <v>1.9579814270815885</v>
      </c>
      <c r="P31" s="1192">
        <f>(P30/S30)*100</f>
        <v>10.503443486081419</v>
      </c>
      <c r="Q31" s="1192">
        <f>(Q30/S30)*100</f>
        <v>94.572004829189851</v>
      </c>
      <c r="R31" s="1192">
        <f>(R30/S30)*100</f>
        <v>5.427995170810151</v>
      </c>
      <c r="S31" s="1192">
        <f>(S30/S30)*100</f>
        <v>100</v>
      </c>
      <c r="T31" s="1193"/>
      <c r="U31" s="1193"/>
      <c r="V31" s="291"/>
    </row>
    <row r="32" spans="1:22" s="66" customFormat="1" ht="8.1" customHeight="1">
      <c r="A32" s="1194" t="s">
        <v>1511</v>
      </c>
      <c r="B32" s="1190">
        <v>248119</v>
      </c>
      <c r="C32" s="1190">
        <v>74275</v>
      </c>
      <c r="D32" s="1190">
        <v>43964</v>
      </c>
      <c r="E32" s="1190">
        <v>481359</v>
      </c>
      <c r="F32" s="1190">
        <v>32087</v>
      </c>
      <c r="G32" s="1190">
        <v>196403</v>
      </c>
      <c r="H32" s="1190">
        <v>322722</v>
      </c>
      <c r="I32" s="1190">
        <v>25234</v>
      </c>
      <c r="J32" s="1190">
        <v>226025</v>
      </c>
      <c r="K32" s="1190">
        <v>94202</v>
      </c>
      <c r="L32" s="1190">
        <v>190487</v>
      </c>
      <c r="M32" s="1190">
        <v>98957</v>
      </c>
      <c r="N32" s="1190">
        <v>73091</v>
      </c>
      <c r="O32" s="1190">
        <v>52006</v>
      </c>
      <c r="P32" s="1190">
        <v>260961</v>
      </c>
      <c r="Q32" s="1191">
        <f>SUM(B32:P32)</f>
        <v>2419892</v>
      </c>
      <c r="R32" s="1190">
        <v>122592</v>
      </c>
      <c r="S32" s="1190">
        <f>Q32+R32</f>
        <v>2542484</v>
      </c>
      <c r="T32" s="1190">
        <v>113610</v>
      </c>
      <c r="U32" s="1190">
        <f>S32+T32</f>
        <v>2656094</v>
      </c>
      <c r="V32" s="1203" t="s">
        <v>1511</v>
      </c>
    </row>
    <row r="33" spans="1:22" s="180" customFormat="1" ht="8.1" customHeight="1">
      <c r="B33" s="1192">
        <f>(B32/S32)*100</f>
        <v>9.7589208034347514</v>
      </c>
      <c r="C33" s="1192">
        <f>(C32/S32)*100</f>
        <v>2.921355650615697</v>
      </c>
      <c r="D33" s="1192">
        <f>(D32/S32)*100</f>
        <v>1.7291750901873915</v>
      </c>
      <c r="E33" s="1192">
        <f>(E32/S32)*100</f>
        <v>18.932626518003655</v>
      </c>
      <c r="F33" s="1192">
        <f>(F32/S32)*100</f>
        <v>1.2620335073888371</v>
      </c>
      <c r="G33" s="1192">
        <f>(G32/S32)*100</f>
        <v>7.724847039352067</v>
      </c>
      <c r="H33" s="1192">
        <f>(H32/S32)*100</f>
        <v>12.69317722353415</v>
      </c>
      <c r="I33" s="1192">
        <f>(I32/S32)*100</f>
        <v>0.9924939547308852</v>
      </c>
      <c r="J33" s="1192">
        <f>(J32/S32)*100</f>
        <v>8.8899281175417428</v>
      </c>
      <c r="K33" s="1192">
        <f>(K32/S32)*100</f>
        <v>3.7051167283648585</v>
      </c>
      <c r="L33" s="1192">
        <f>(L32/S32)*100</f>
        <v>7.4921612092740801</v>
      </c>
      <c r="M33" s="1192">
        <f>(M32/S32)*100</f>
        <v>3.892138554264255</v>
      </c>
      <c r="N33" s="1192">
        <f>(N32/S32)*100</f>
        <v>2.874787019308676</v>
      </c>
      <c r="O33" s="1192">
        <f>(O32/S32)*100</f>
        <v>2.045479932223762</v>
      </c>
      <c r="P33" s="1192">
        <f>(P32/S32)*100</f>
        <v>10.264017394013099</v>
      </c>
      <c r="Q33" s="1192">
        <f>(Q32/S32)*100</f>
        <v>95.178258742237915</v>
      </c>
      <c r="R33" s="1192">
        <f>(R32/S32)*100</f>
        <v>4.8217412577620937</v>
      </c>
      <c r="S33" s="1192">
        <f>(S32/S32)*100</f>
        <v>100</v>
      </c>
      <c r="T33" s="1193"/>
      <c r="U33" s="1193"/>
      <c r="V33" s="291"/>
    </row>
    <row r="34" spans="1:22" s="230" customFormat="1" ht="8.1" customHeight="1">
      <c r="A34" s="1189" t="s">
        <v>1602</v>
      </c>
      <c r="B34" s="1190">
        <v>270751</v>
      </c>
      <c r="C34" s="1190">
        <v>83091</v>
      </c>
      <c r="D34" s="1190">
        <v>46548</v>
      </c>
      <c r="E34" s="1190">
        <v>507100</v>
      </c>
      <c r="F34" s="1190">
        <v>33010</v>
      </c>
      <c r="G34" s="1190">
        <v>222537</v>
      </c>
      <c r="H34" s="1190">
        <v>349066</v>
      </c>
      <c r="I34" s="1190">
        <v>27262</v>
      </c>
      <c r="J34" s="1190">
        <v>241277</v>
      </c>
      <c r="K34" s="1190">
        <v>99809</v>
      </c>
      <c r="L34" s="1190">
        <v>212524</v>
      </c>
      <c r="M34" s="1190">
        <v>106897</v>
      </c>
      <c r="N34" s="1190">
        <v>81095</v>
      </c>
      <c r="O34" s="1190">
        <v>58777</v>
      </c>
      <c r="P34" s="1190">
        <v>286167</v>
      </c>
      <c r="Q34" s="1191">
        <f>SUM(B34:P34)</f>
        <v>2625911</v>
      </c>
      <c r="R34" s="1190">
        <v>113421</v>
      </c>
      <c r="S34" s="1190">
        <f>Q34+R34</f>
        <v>2739332</v>
      </c>
      <c r="T34" s="1190">
        <v>133898</v>
      </c>
      <c r="U34" s="1190">
        <f>S34+T34</f>
        <v>2873230</v>
      </c>
      <c r="V34" s="1203" t="s">
        <v>1602</v>
      </c>
    </row>
    <row r="35" spans="1:22" s="230" customFormat="1" ht="8.1" customHeight="1">
      <c r="A35" s="180"/>
      <c r="B35" s="1192">
        <f>(B34/S34)*100</f>
        <v>9.8838329928610325</v>
      </c>
      <c r="C35" s="1192">
        <f>(C34/S34)*100</f>
        <v>3.0332577431286167</v>
      </c>
      <c r="D35" s="1192">
        <f>(D34/S34)*100</f>
        <v>1.6992463856151792</v>
      </c>
      <c r="E35" s="1192">
        <f>(E34/S34)*100</f>
        <v>18.511812368854887</v>
      </c>
      <c r="F35" s="1192">
        <f>(F34/S34)*100</f>
        <v>1.2050383086095442</v>
      </c>
      <c r="G35" s="1192">
        <f>(G34/S34)*100</f>
        <v>8.123768860437508</v>
      </c>
      <c r="H35" s="1192">
        <f>(H34/S34)*100</f>
        <v>12.742741661105701</v>
      </c>
      <c r="I35" s="1192">
        <f>(I34/S34)*100</f>
        <v>0.99520613054569518</v>
      </c>
      <c r="J35" s="1192">
        <f>(J34/S34)*100</f>
        <v>8.8078772489059372</v>
      </c>
      <c r="K35" s="1192">
        <f>(K34/S34)*100</f>
        <v>3.6435525157228117</v>
      </c>
      <c r="L35" s="1192">
        <f>(L34/S34)*100</f>
        <v>7.758241790334286</v>
      </c>
      <c r="M35" s="1192">
        <f>(M34/S34)*100</f>
        <v>3.90230172903467</v>
      </c>
      <c r="N35" s="1192">
        <f>(N34/S34)*100</f>
        <v>2.9603932637591939</v>
      </c>
      <c r="O35" s="1192">
        <f>(O34/S34)*100</f>
        <v>2.1456690901285422</v>
      </c>
      <c r="P35" s="1192">
        <f>(P34/S34)*100</f>
        <v>10.446597929714251</v>
      </c>
      <c r="Q35" s="1192">
        <f>(Q34/S34)*100</f>
        <v>95.85953801875786</v>
      </c>
      <c r="R35" s="1192">
        <f>(R34/S34)*100</f>
        <v>4.1404619812421428</v>
      </c>
      <c r="S35" s="1192">
        <f>(S34/S34)*100</f>
        <v>100</v>
      </c>
      <c r="T35" s="1193"/>
      <c r="U35" s="1193"/>
      <c r="V35" s="291"/>
    </row>
    <row r="36" spans="1:22" s="33" customFormat="1" ht="9" customHeight="1">
      <c r="A36" s="1194" t="s">
        <v>2191</v>
      </c>
      <c r="B36" s="1190">
        <v>292221</v>
      </c>
      <c r="C36" s="1190">
        <v>92389</v>
      </c>
      <c r="D36" s="1190">
        <v>48718</v>
      </c>
      <c r="E36" s="1190">
        <v>559627</v>
      </c>
      <c r="F36" s="1190">
        <v>34921</v>
      </c>
      <c r="G36" s="1190">
        <v>251150</v>
      </c>
      <c r="H36" s="1190">
        <v>387606</v>
      </c>
      <c r="I36" s="1190">
        <v>30911</v>
      </c>
      <c r="J36" s="1190">
        <v>265227</v>
      </c>
      <c r="K36" s="1190">
        <v>107014</v>
      </c>
      <c r="L36" s="1190">
        <v>236065</v>
      </c>
      <c r="M36" s="1190">
        <v>117376</v>
      </c>
      <c r="N36" s="1190">
        <v>90419</v>
      </c>
      <c r="O36" s="1190">
        <v>66427</v>
      </c>
      <c r="P36" s="1190">
        <v>313313</v>
      </c>
      <c r="Q36" s="1191">
        <f>SUM(B36:P36)</f>
        <v>2893384</v>
      </c>
      <c r="R36" s="1190">
        <v>117681</v>
      </c>
      <c r="S36" s="1190">
        <f>Q36+R36</f>
        <v>3011065</v>
      </c>
      <c r="T36" s="1190">
        <v>186746</v>
      </c>
      <c r="U36" s="1190">
        <f>S36+T36</f>
        <v>3197811</v>
      </c>
      <c r="V36" s="1203" t="s">
        <v>2191</v>
      </c>
    </row>
    <row r="37" spans="1:22" s="230" customFormat="1" ht="8.1" customHeight="1">
      <c r="A37" s="180"/>
      <c r="B37" s="1192">
        <f>(B36/S36)*100</f>
        <v>9.7049050751146186</v>
      </c>
      <c r="C37" s="1192">
        <f>(C36/S36)*100</f>
        <v>3.0683163598261745</v>
      </c>
      <c r="D37" s="1192">
        <f>(D36/S36)*100</f>
        <v>1.6179657363756679</v>
      </c>
      <c r="E37" s="1192">
        <f>(E36/S36)*100</f>
        <v>18.585683138690133</v>
      </c>
      <c r="F37" s="1192">
        <f>(F36/S36)*100</f>
        <v>1.15975576747762</v>
      </c>
      <c r="G37" s="1192">
        <f>(G36/S36)*100</f>
        <v>8.3409026374389121</v>
      </c>
      <c r="H37" s="1192">
        <f>(H36/S36)*100</f>
        <v>12.872721113625909</v>
      </c>
      <c r="I37" s="1192">
        <f>(I36/S36)*100</f>
        <v>1.0265802963403314</v>
      </c>
      <c r="J37" s="1192">
        <f>(J36/S36)*100</f>
        <v>8.8084116417280924</v>
      </c>
      <c r="K37" s="1192">
        <f>(K36/S36)*100</f>
        <v>3.5540249048094283</v>
      </c>
      <c r="L37" s="1192">
        <f>(L36/S36)*100</f>
        <v>7.8399171057416561</v>
      </c>
      <c r="M37" s="1192">
        <f>(M36/S36)*100</f>
        <v>3.8981556359626914</v>
      </c>
      <c r="N37" s="1192">
        <f>(N36/S36)*100</f>
        <v>3.0028910036814218</v>
      </c>
      <c r="O37" s="1192">
        <f>(O36/S36)*100</f>
        <v>2.2060965140241078</v>
      </c>
      <c r="P37" s="1192">
        <f>(P36/S36)*100</f>
        <v>10.405388126792348</v>
      </c>
      <c r="Q37" s="1192">
        <f>(Q36/S36)*100</f>
        <v>96.091715057629116</v>
      </c>
      <c r="R37" s="1192">
        <f>(R36/S36)*100</f>
        <v>3.908284942370889</v>
      </c>
      <c r="S37" s="1192">
        <f>(S36/S36)*100</f>
        <v>100</v>
      </c>
      <c r="T37" s="1193"/>
      <c r="U37" s="1193"/>
      <c r="V37" s="291"/>
    </row>
    <row r="38" spans="1:22" s="33" customFormat="1" ht="8.1" customHeight="1">
      <c r="A38" s="1199" t="s">
        <v>2180</v>
      </c>
      <c r="B38" s="1200"/>
      <c r="C38" s="1201"/>
      <c r="D38" s="1201"/>
      <c r="E38" s="1201"/>
      <c r="F38" s="1201"/>
      <c r="G38" s="1201"/>
      <c r="H38" s="1201"/>
      <c r="I38" s="1201"/>
      <c r="J38" s="1201"/>
      <c r="K38" s="1201"/>
      <c r="L38" s="1201"/>
      <c r="M38" s="1201"/>
      <c r="N38" s="1201"/>
      <c r="O38" s="1201"/>
      <c r="P38" s="1201"/>
      <c r="Q38" s="1201"/>
      <c r="R38" s="1201"/>
      <c r="S38" s="1201"/>
      <c r="T38" s="1202"/>
      <c r="U38" s="1202"/>
      <c r="V38" s="1203"/>
    </row>
    <row r="39" spans="1:22" s="230" customFormat="1" ht="8.1" customHeight="1">
      <c r="A39" s="1450" t="s">
        <v>575</v>
      </c>
      <c r="B39" s="1204">
        <v>70171</v>
      </c>
      <c r="C39" s="1204">
        <v>16814</v>
      </c>
      <c r="D39" s="1204">
        <v>7009</v>
      </c>
      <c r="E39" s="1204">
        <v>73834</v>
      </c>
      <c r="F39" s="1204">
        <v>5553</v>
      </c>
      <c r="G39" s="1204">
        <v>29825</v>
      </c>
      <c r="H39" s="1204">
        <v>62352</v>
      </c>
      <c r="I39" s="1204">
        <v>3467</v>
      </c>
      <c r="J39" s="1204">
        <v>46497</v>
      </c>
      <c r="K39" s="1204">
        <v>14216</v>
      </c>
      <c r="L39" s="1204">
        <v>37935</v>
      </c>
      <c r="M39" s="1204">
        <v>14089</v>
      </c>
      <c r="N39" s="1204">
        <v>9962</v>
      </c>
      <c r="O39" s="1204">
        <v>9288</v>
      </c>
      <c r="P39" s="1204">
        <v>56600</v>
      </c>
      <c r="Q39" s="1205">
        <f>SUM(B39:P39)</f>
        <v>457612</v>
      </c>
      <c r="R39" s="1204">
        <v>24725</v>
      </c>
      <c r="S39" s="1204">
        <f>Q39+R39</f>
        <v>482337</v>
      </c>
      <c r="T39" s="1204">
        <v>27208</v>
      </c>
      <c r="U39" s="1204">
        <f>S39+T39</f>
        <v>509545</v>
      </c>
      <c r="V39" s="291" t="s">
        <v>575</v>
      </c>
    </row>
    <row r="40" spans="1:22" s="33" customFormat="1" ht="8.1" customHeight="1">
      <c r="A40" s="1194"/>
      <c r="B40" s="1201">
        <f>(B39/S39)*100</f>
        <v>14.548127139323752</v>
      </c>
      <c r="C40" s="1201">
        <f>(C39/S39)*100</f>
        <v>3.4859444745064136</v>
      </c>
      <c r="D40" s="1201">
        <f>(D39/S39)*100</f>
        <v>1.4531333901400889</v>
      </c>
      <c r="E40" s="1201">
        <f>(E39/S39)*100</f>
        <v>15.307554676502114</v>
      </c>
      <c r="F40" s="1201">
        <f>(F39/S39)*100</f>
        <v>1.151269755378501</v>
      </c>
      <c r="G40" s="1201">
        <f>(G39/S39)*100</f>
        <v>6.1834360623381581</v>
      </c>
      <c r="H40" s="1201">
        <f>(H39/S39)*100</f>
        <v>12.927061369955032</v>
      </c>
      <c r="I40" s="1201">
        <f>(I39/S39)*100</f>
        <v>0.71879204788353368</v>
      </c>
      <c r="J40" s="1201">
        <f>(J39/S39)*100</f>
        <v>9.6399405394983173</v>
      </c>
      <c r="K40" s="1201">
        <f>(K39/S39)*100</f>
        <v>2.9473169174249541</v>
      </c>
      <c r="L40" s="1201">
        <f>(L39/S39)*100</f>
        <v>7.8648330938741999</v>
      </c>
      <c r="M40" s="1201">
        <f>(M39/S39)*100</f>
        <v>2.9209867789533042</v>
      </c>
      <c r="N40" s="1201">
        <f>(N39/S39)*100</f>
        <v>2.0653609405871829</v>
      </c>
      <c r="O40" s="1201">
        <f>(O39/S39)*100</f>
        <v>1.9256246151549643</v>
      </c>
      <c r="P40" s="1201">
        <f>(P39/S39)*100</f>
        <v>11.734534153506781</v>
      </c>
      <c r="Q40" s="1201">
        <f>(Q39/S39)*100</f>
        <v>94.8739159550273</v>
      </c>
      <c r="R40" s="1201">
        <f>(R39/S39)*100</f>
        <v>5.1260840449727052</v>
      </c>
      <c r="S40" s="1201">
        <f>(S39/S39)*100</f>
        <v>100</v>
      </c>
      <c r="T40" s="1202"/>
      <c r="U40" s="1202"/>
      <c r="V40" s="1203"/>
    </row>
    <row r="41" spans="1:22" s="230" customFormat="1" ht="8.1" customHeight="1">
      <c r="A41" s="180" t="s">
        <v>584</v>
      </c>
      <c r="B41" s="1234">
        <v>74410</v>
      </c>
      <c r="C41" s="1204">
        <v>18397</v>
      </c>
      <c r="D41" s="1204">
        <v>7433</v>
      </c>
      <c r="E41" s="1204">
        <v>81612</v>
      </c>
      <c r="F41" s="1204">
        <v>5831</v>
      </c>
      <c r="G41" s="1204">
        <v>31836</v>
      </c>
      <c r="H41" s="1204">
        <v>67571</v>
      </c>
      <c r="I41" s="1204">
        <v>3659</v>
      </c>
      <c r="J41" s="1204">
        <v>50878</v>
      </c>
      <c r="K41" s="1204">
        <v>15139</v>
      </c>
      <c r="L41" s="1204">
        <v>39382</v>
      </c>
      <c r="M41" s="1204">
        <v>15293</v>
      </c>
      <c r="N41" s="1204">
        <v>10835</v>
      </c>
      <c r="O41" s="1204">
        <v>9749</v>
      </c>
      <c r="P41" s="1204">
        <v>58399</v>
      </c>
      <c r="Q41" s="837">
        <f>SUM(B41:P41)</f>
        <v>490424</v>
      </c>
      <c r="R41" s="1204">
        <v>25959</v>
      </c>
      <c r="S41" s="976">
        <f>Q41+R41</f>
        <v>516383</v>
      </c>
      <c r="T41" s="1204">
        <v>33121</v>
      </c>
      <c r="U41" s="976">
        <f>S41+T41</f>
        <v>549504</v>
      </c>
      <c r="V41" s="291" t="s">
        <v>584</v>
      </c>
    </row>
    <row r="42" spans="1:22" s="33" customFormat="1" ht="8.1" customHeight="1">
      <c r="A42" s="1194"/>
      <c r="B42" s="1201">
        <f t="shared" ref="B42:S42" si="0">(B41/$S41)*100</f>
        <v>14.409846954682862</v>
      </c>
      <c r="C42" s="1201">
        <f t="shared" si="0"/>
        <v>3.562665695811055</v>
      </c>
      <c r="D42" s="1201">
        <f t="shared" si="0"/>
        <v>1.4394354577900512</v>
      </c>
      <c r="E42" s="1201">
        <f t="shared" si="0"/>
        <v>15.804548174513878</v>
      </c>
      <c r="F42" s="1201">
        <f t="shared" si="0"/>
        <v>1.1292006127235017</v>
      </c>
      <c r="G42" s="1201">
        <f t="shared" si="0"/>
        <v>6.1651913405359977</v>
      </c>
      <c r="H42" s="1201">
        <f t="shared" si="0"/>
        <v>13.085442394501756</v>
      </c>
      <c r="I42" s="1201">
        <f t="shared" si="0"/>
        <v>0.70858258308271183</v>
      </c>
      <c r="J42" s="1201">
        <f t="shared" si="0"/>
        <v>9.8527643241547462</v>
      </c>
      <c r="K42" s="1201">
        <f t="shared" si="0"/>
        <v>2.9317386513498702</v>
      </c>
      <c r="L42" s="1201">
        <f t="shared" si="0"/>
        <v>7.6265097805311166</v>
      </c>
      <c r="M42" s="1201">
        <f t="shared" si="0"/>
        <v>2.9615614766558931</v>
      </c>
      <c r="N42" s="1201">
        <f t="shared" si="0"/>
        <v>2.0982487804594654</v>
      </c>
      <c r="O42" s="1201">
        <f t="shared" si="0"/>
        <v>1.8879397656390702</v>
      </c>
      <c r="P42" s="1201">
        <f t="shared" si="0"/>
        <v>11.309241396405382</v>
      </c>
      <c r="Q42" s="1201">
        <f t="shared" si="0"/>
        <v>94.972917388837345</v>
      </c>
      <c r="R42" s="1201">
        <f t="shared" si="0"/>
        <v>5.027082611162645</v>
      </c>
      <c r="S42" s="1201">
        <f t="shared" si="0"/>
        <v>100</v>
      </c>
      <c r="T42" s="1235"/>
      <c r="U42" s="1235"/>
      <c r="V42" s="1203"/>
    </row>
    <row r="43" spans="1:22" s="230" customFormat="1" ht="8.1" customHeight="1">
      <c r="A43" s="180" t="s">
        <v>336</v>
      </c>
      <c r="B43" s="1234">
        <v>77292</v>
      </c>
      <c r="C43" s="1204">
        <v>19685</v>
      </c>
      <c r="D43" s="1204">
        <v>8003</v>
      </c>
      <c r="E43" s="1204">
        <v>87596</v>
      </c>
      <c r="F43" s="1204">
        <v>6284</v>
      </c>
      <c r="G43" s="1204">
        <v>33742</v>
      </c>
      <c r="H43" s="1204">
        <v>72481</v>
      </c>
      <c r="I43" s="1204">
        <v>3866</v>
      </c>
      <c r="J43" s="1204">
        <v>55079</v>
      </c>
      <c r="K43" s="1204">
        <v>15733</v>
      </c>
      <c r="L43" s="1204">
        <v>40877</v>
      </c>
      <c r="M43" s="1204">
        <v>16289</v>
      </c>
      <c r="N43" s="1204">
        <v>11609</v>
      </c>
      <c r="O43" s="1204">
        <v>10321</v>
      </c>
      <c r="P43" s="1204">
        <v>60261</v>
      </c>
      <c r="Q43" s="837">
        <f>SUM(B43:P43)</f>
        <v>519118</v>
      </c>
      <c r="R43" s="1204">
        <v>28319</v>
      </c>
      <c r="S43" s="976">
        <f>Q43+R43</f>
        <v>547437</v>
      </c>
      <c r="T43" s="1204">
        <v>42109</v>
      </c>
      <c r="U43" s="976">
        <f>S43+T43</f>
        <v>589546</v>
      </c>
      <c r="V43" s="291" t="s">
        <v>336</v>
      </c>
    </row>
    <row r="44" spans="1:22" s="33" customFormat="1" ht="8.1" customHeight="1">
      <c r="A44" s="1194"/>
      <c r="B44" s="1201">
        <f t="shared" ref="B44:S44" si="1">(B43/$S43)*100</f>
        <v>14.118884912784486</v>
      </c>
      <c r="C44" s="1201">
        <f t="shared" si="1"/>
        <v>3.5958475587145191</v>
      </c>
      <c r="D44" s="1201">
        <f t="shared" si="1"/>
        <v>1.4619033788362861</v>
      </c>
      <c r="E44" s="1201">
        <f t="shared" si="1"/>
        <v>16.001110630081637</v>
      </c>
      <c r="F44" s="1201">
        <f t="shared" si="1"/>
        <v>1.1478946435845585</v>
      </c>
      <c r="G44" s="1201">
        <f t="shared" si="1"/>
        <v>6.1636316142314094</v>
      </c>
      <c r="H44" s="1201">
        <f t="shared" si="1"/>
        <v>13.240062326806553</v>
      </c>
      <c r="I44" s="1201">
        <f t="shared" si="1"/>
        <v>0.70619998282907448</v>
      </c>
      <c r="J44" s="1201">
        <f t="shared" si="1"/>
        <v>10.061249056969112</v>
      </c>
      <c r="K44" s="1201">
        <f t="shared" si="1"/>
        <v>2.8739380056517922</v>
      </c>
      <c r="L44" s="1201">
        <f t="shared" si="1"/>
        <v>7.4669779353605987</v>
      </c>
      <c r="M44" s="1201">
        <f t="shared" si="1"/>
        <v>2.9755022039065682</v>
      </c>
      <c r="N44" s="1201">
        <f t="shared" si="1"/>
        <v>2.12060931212176</v>
      </c>
      <c r="O44" s="1201">
        <f t="shared" si="1"/>
        <v>1.8853310974596162</v>
      </c>
      <c r="P44" s="1201">
        <f t="shared" si="1"/>
        <v>11.007841998257334</v>
      </c>
      <c r="Q44" s="1201">
        <f t="shared" si="1"/>
        <v>94.826984657595304</v>
      </c>
      <c r="R44" s="1201">
        <f t="shared" si="1"/>
        <v>5.1730153424046961</v>
      </c>
      <c r="S44" s="1201">
        <f t="shared" si="1"/>
        <v>100</v>
      </c>
      <c r="T44" s="1235"/>
      <c r="U44" s="1235"/>
      <c r="V44" s="1203"/>
    </row>
    <row r="45" spans="1:22" s="230" customFormat="1" ht="8.1" customHeight="1">
      <c r="A45" s="180" t="s">
        <v>85</v>
      </c>
      <c r="B45" s="1234">
        <v>79682</v>
      </c>
      <c r="C45" s="1204">
        <v>20657</v>
      </c>
      <c r="D45" s="1204">
        <v>8841</v>
      </c>
      <c r="E45" s="1204">
        <v>93459</v>
      </c>
      <c r="F45" s="1204">
        <v>6740</v>
      </c>
      <c r="G45" s="1204">
        <v>35962</v>
      </c>
      <c r="H45" s="1204">
        <v>76728</v>
      </c>
      <c r="I45" s="1204">
        <v>4093</v>
      </c>
      <c r="J45" s="1204">
        <v>59513</v>
      </c>
      <c r="K45" s="1204">
        <v>15728</v>
      </c>
      <c r="L45" s="1204">
        <v>42442</v>
      </c>
      <c r="M45" s="1204">
        <v>17447</v>
      </c>
      <c r="N45" s="1204">
        <v>12293</v>
      </c>
      <c r="O45" s="1204">
        <v>10634</v>
      </c>
      <c r="P45" s="1204">
        <v>62191</v>
      </c>
      <c r="Q45" s="837">
        <f>SUM(B45:P45)</f>
        <v>546410</v>
      </c>
      <c r="R45" s="1204">
        <v>28646</v>
      </c>
      <c r="S45" s="976">
        <f>Q45+R45</f>
        <v>575056</v>
      </c>
      <c r="T45" s="1204">
        <v>45558</v>
      </c>
      <c r="U45" s="976">
        <f>S45+T45</f>
        <v>620614</v>
      </c>
      <c r="V45" s="291" t="s">
        <v>85</v>
      </c>
    </row>
    <row r="46" spans="1:22" s="33" customFormat="1" ht="8.1" customHeight="1">
      <c r="A46" s="1194"/>
      <c r="B46" s="1201">
        <f t="shared" ref="B46:S46" si="2">(B45/$S45)*100</f>
        <v>13.856389638574329</v>
      </c>
      <c r="C46" s="1201">
        <f t="shared" si="2"/>
        <v>3.5921718928243509</v>
      </c>
      <c r="D46" s="1201">
        <f t="shared" si="2"/>
        <v>1.5374154864917504</v>
      </c>
      <c r="E46" s="1201">
        <f t="shared" si="2"/>
        <v>16.252156311733117</v>
      </c>
      <c r="F46" s="1201">
        <f t="shared" si="2"/>
        <v>1.1720597646142288</v>
      </c>
      <c r="G46" s="1201">
        <f t="shared" si="2"/>
        <v>6.2536518182576994</v>
      </c>
      <c r="H46" s="1201">
        <f t="shared" si="2"/>
        <v>13.342700536991181</v>
      </c>
      <c r="I46" s="1201">
        <f t="shared" si="2"/>
        <v>0.71175676803650434</v>
      </c>
      <c r="J46" s="1201">
        <f t="shared" si="2"/>
        <v>10.34907904621463</v>
      </c>
      <c r="K46" s="1201">
        <f t="shared" si="2"/>
        <v>2.73503797890988</v>
      </c>
      <c r="L46" s="1201">
        <f t="shared" si="2"/>
        <v>7.3804985949194517</v>
      </c>
      <c r="M46" s="1201">
        <f t="shared" si="2"/>
        <v>3.0339653877187613</v>
      </c>
      <c r="N46" s="1201">
        <f t="shared" si="2"/>
        <v>2.1377048496146465</v>
      </c>
      <c r="O46" s="1201">
        <f t="shared" si="2"/>
        <v>1.8492112072563367</v>
      </c>
      <c r="P46" s="1201">
        <f t="shared" si="2"/>
        <v>10.81477282212515</v>
      </c>
      <c r="Q46" s="1201">
        <f t="shared" si="2"/>
        <v>95.018572104282015</v>
      </c>
      <c r="R46" s="1201">
        <f t="shared" si="2"/>
        <v>4.9814278957179825</v>
      </c>
      <c r="S46" s="1201">
        <f t="shared" si="2"/>
        <v>100</v>
      </c>
      <c r="T46" s="1235"/>
      <c r="U46" s="1235"/>
      <c r="V46" s="1203"/>
    </row>
    <row r="47" spans="1:22" s="230" customFormat="1" ht="8.1" customHeight="1">
      <c r="A47" s="571" t="s">
        <v>81</v>
      </c>
      <c r="B47" s="1234">
        <v>84904</v>
      </c>
      <c r="C47" s="1204">
        <v>21607</v>
      </c>
      <c r="D47" s="1204">
        <v>9561</v>
      </c>
      <c r="E47" s="1204">
        <v>99671</v>
      </c>
      <c r="F47" s="1204">
        <v>7412</v>
      </c>
      <c r="G47" s="1204">
        <v>38554</v>
      </c>
      <c r="H47" s="1204">
        <v>81219</v>
      </c>
      <c r="I47" s="1204">
        <v>4339</v>
      </c>
      <c r="J47" s="1204">
        <v>64006</v>
      </c>
      <c r="K47" s="1204">
        <v>16711</v>
      </c>
      <c r="L47" s="1204">
        <v>44078</v>
      </c>
      <c r="M47" s="1204">
        <v>18882</v>
      </c>
      <c r="N47" s="1204">
        <v>12930</v>
      </c>
      <c r="O47" s="1204">
        <v>11360</v>
      </c>
      <c r="P47" s="1204">
        <v>64191</v>
      </c>
      <c r="Q47" s="837">
        <f>SUM(B47:P47)</f>
        <v>579425</v>
      </c>
      <c r="R47" s="1204">
        <v>27672</v>
      </c>
      <c r="S47" s="976">
        <f>Q47+R47</f>
        <v>607097</v>
      </c>
      <c r="T47" s="1204">
        <v>49143</v>
      </c>
      <c r="U47" s="976">
        <f>S47+T47</f>
        <v>656240</v>
      </c>
      <c r="V47" s="1242" t="s">
        <v>81</v>
      </c>
    </row>
    <row r="48" spans="1:22" s="33" customFormat="1" ht="8.1" customHeight="1">
      <c r="A48" s="1194"/>
      <c r="B48" s="1201">
        <f t="shared" ref="B48:S48" si="3">(B47/$S47)*100</f>
        <v>13.98524453258705</v>
      </c>
      <c r="C48" s="1201">
        <f t="shared" si="3"/>
        <v>3.5590688143739801</v>
      </c>
      <c r="D48" s="1201">
        <f t="shared" si="3"/>
        <v>1.5748718903239516</v>
      </c>
      <c r="E48" s="1201">
        <f t="shared" si="3"/>
        <v>16.417640014692875</v>
      </c>
      <c r="F48" s="1201">
        <f t="shared" si="3"/>
        <v>1.2208922132706963</v>
      </c>
      <c r="G48" s="1201">
        <f t="shared" si="3"/>
        <v>6.3505502415594215</v>
      </c>
      <c r="H48" s="1201">
        <f t="shared" si="3"/>
        <v>13.378257510743751</v>
      </c>
      <c r="I48" s="1201">
        <f t="shared" si="3"/>
        <v>0.71471280536718185</v>
      </c>
      <c r="J48" s="1201">
        <f t="shared" si="3"/>
        <v>10.54296100952566</v>
      </c>
      <c r="K48" s="1201">
        <f t="shared" si="3"/>
        <v>2.7526079028557215</v>
      </c>
      <c r="L48" s="1201">
        <f t="shared" si="3"/>
        <v>7.2604542601923576</v>
      </c>
      <c r="M48" s="1201">
        <f t="shared" si="3"/>
        <v>3.1102113830244589</v>
      </c>
      <c r="N48" s="1201">
        <f t="shared" si="3"/>
        <v>2.1298079219630472</v>
      </c>
      <c r="O48" s="1201">
        <f t="shared" si="3"/>
        <v>1.8712001541763508</v>
      </c>
      <c r="P48" s="1201">
        <f t="shared" si="3"/>
        <v>10.573433899360399</v>
      </c>
      <c r="Q48" s="1201">
        <f t="shared" si="3"/>
        <v>95.441914554016904</v>
      </c>
      <c r="R48" s="1201">
        <f t="shared" si="3"/>
        <v>4.5580854459830968</v>
      </c>
      <c r="S48" s="1201">
        <f t="shared" si="3"/>
        <v>100</v>
      </c>
      <c r="T48" s="1235"/>
      <c r="U48" s="1235"/>
      <c r="V48" s="1203"/>
    </row>
    <row r="49" spans="1:27" s="230" customFormat="1" ht="8.1" customHeight="1">
      <c r="A49" s="180" t="s">
        <v>192</v>
      </c>
      <c r="B49" s="1204">
        <v>88206</v>
      </c>
      <c r="C49" s="1204">
        <v>23051</v>
      </c>
      <c r="D49" s="1204">
        <v>9907</v>
      </c>
      <c r="E49" s="1204">
        <v>109651</v>
      </c>
      <c r="F49" s="1204">
        <v>8402</v>
      </c>
      <c r="G49" s="1204">
        <v>41235</v>
      </c>
      <c r="H49" s="1204">
        <v>86650</v>
      </c>
      <c r="I49" s="1204">
        <v>4608</v>
      </c>
      <c r="J49" s="1204">
        <v>69409</v>
      </c>
      <c r="K49" s="1204">
        <v>18456</v>
      </c>
      <c r="L49" s="1204">
        <v>45790</v>
      </c>
      <c r="M49" s="1204">
        <v>20552</v>
      </c>
      <c r="N49" s="1204">
        <v>13659</v>
      </c>
      <c r="O49" s="1204">
        <v>12080</v>
      </c>
      <c r="P49" s="1204">
        <v>66265</v>
      </c>
      <c r="Q49" s="837">
        <f>SUM(B49:P49)</f>
        <v>617921</v>
      </c>
      <c r="R49" s="1204">
        <v>28421</v>
      </c>
      <c r="S49" s="976">
        <f>Q49+R49</f>
        <v>646342</v>
      </c>
      <c r="T49" s="1204">
        <v>51126</v>
      </c>
      <c r="U49" s="976">
        <f>S49+T49</f>
        <v>697468</v>
      </c>
      <c r="V49" s="291" t="s">
        <v>192</v>
      </c>
    </row>
    <row r="50" spans="1:27" s="33" customFormat="1" ht="8.1" customHeight="1">
      <c r="A50" s="1194"/>
      <c r="B50" s="1201">
        <f t="shared" ref="B50:S50" si="4">(B49/$S49)*100</f>
        <v>13.646954708188543</v>
      </c>
      <c r="C50" s="1201">
        <f t="shared" si="4"/>
        <v>3.5663781713086879</v>
      </c>
      <c r="D50" s="1201">
        <f t="shared" si="4"/>
        <v>1.5327798595789845</v>
      </c>
      <c r="E50" s="1201">
        <f t="shared" si="4"/>
        <v>16.964857614080472</v>
      </c>
      <c r="F50" s="1201">
        <f t="shared" si="4"/>
        <v>1.2999309962837011</v>
      </c>
      <c r="G50" s="1201">
        <f t="shared" si="4"/>
        <v>6.3797494205853873</v>
      </c>
      <c r="H50" s="1201">
        <f t="shared" si="4"/>
        <v>13.406215285406178</v>
      </c>
      <c r="I50" s="1201">
        <f t="shared" si="4"/>
        <v>0.71293525718582429</v>
      </c>
      <c r="J50" s="1201">
        <f t="shared" si="4"/>
        <v>10.738742028214165</v>
      </c>
      <c r="K50" s="1201">
        <f t="shared" si="4"/>
        <v>2.8554542332078063</v>
      </c>
      <c r="L50" s="1201">
        <f t="shared" si="4"/>
        <v>7.0844846845787526</v>
      </c>
      <c r="M50" s="1201">
        <f t="shared" si="4"/>
        <v>3.1797407564416362</v>
      </c>
      <c r="N50" s="1201">
        <f t="shared" si="4"/>
        <v>2.11327749086397</v>
      </c>
      <c r="O50" s="1201">
        <f t="shared" si="4"/>
        <v>1.8689795804697822</v>
      </c>
      <c r="P50" s="1201">
        <f t="shared" si="4"/>
        <v>10.25231224336342</v>
      </c>
      <c r="Q50" s="1201">
        <f t="shared" si="4"/>
        <v>95.602792329757307</v>
      </c>
      <c r="R50" s="1201">
        <f t="shared" si="4"/>
        <v>4.3972076702426888</v>
      </c>
      <c r="S50" s="1201">
        <f t="shared" si="4"/>
        <v>100</v>
      </c>
      <c r="T50" s="1235"/>
      <c r="U50" s="1235"/>
      <c r="V50" s="1203"/>
    </row>
    <row r="51" spans="1:27" s="230" customFormat="1" ht="8.1" customHeight="1">
      <c r="A51" s="180" t="s">
        <v>757</v>
      </c>
      <c r="B51" s="1204">
        <v>90332</v>
      </c>
      <c r="C51" s="1204">
        <v>24279</v>
      </c>
      <c r="D51" s="1204">
        <v>10593</v>
      </c>
      <c r="E51" s="1204">
        <v>120567</v>
      </c>
      <c r="F51" s="1204">
        <v>9291</v>
      </c>
      <c r="G51" s="1204">
        <v>44709</v>
      </c>
      <c r="H51" s="1204">
        <v>92457</v>
      </c>
      <c r="I51" s="1204">
        <v>4902</v>
      </c>
      <c r="J51" s="1204">
        <v>75761</v>
      </c>
      <c r="K51" s="1204">
        <v>21180</v>
      </c>
      <c r="L51" s="1204">
        <v>47587</v>
      </c>
      <c r="M51" s="1204">
        <v>22099</v>
      </c>
      <c r="N51" s="1204">
        <v>14718</v>
      </c>
      <c r="O51" s="1204">
        <v>12540</v>
      </c>
      <c r="P51" s="1204">
        <v>68416</v>
      </c>
      <c r="Q51" s="837">
        <f>SUM(B51:P51)</f>
        <v>659431</v>
      </c>
      <c r="R51" s="1204">
        <v>29062</v>
      </c>
      <c r="S51" s="976">
        <f>Q51+R51</f>
        <v>688493</v>
      </c>
      <c r="T51" s="1204">
        <v>58267</v>
      </c>
      <c r="U51" s="976">
        <f>S51+T51</f>
        <v>746760</v>
      </c>
      <c r="V51" s="291" t="s">
        <v>757</v>
      </c>
    </row>
    <row r="52" spans="1:27" s="33" customFormat="1" ht="8.1" customHeight="1">
      <c r="A52" s="1194"/>
      <c r="B52" s="1201">
        <f t="shared" ref="B52:S52" si="5">(B51/$S51)*100</f>
        <v>13.120249588594218</v>
      </c>
      <c r="C52" s="1201">
        <f t="shared" si="5"/>
        <v>3.5263975087618902</v>
      </c>
      <c r="D52" s="1201">
        <f t="shared" si="5"/>
        <v>1.5385777342689033</v>
      </c>
      <c r="E52" s="1201">
        <f t="shared" si="5"/>
        <v>17.511724883186901</v>
      </c>
      <c r="F52" s="1201">
        <f t="shared" si="5"/>
        <v>1.3494690577827226</v>
      </c>
      <c r="G52" s="1201">
        <f t="shared" si="5"/>
        <v>6.4937479393399791</v>
      </c>
      <c r="H52" s="1201">
        <f t="shared" si="5"/>
        <v>13.428894701906918</v>
      </c>
      <c r="I52" s="1201">
        <f t="shared" si="5"/>
        <v>0.71198980962769409</v>
      </c>
      <c r="J52" s="1201">
        <f t="shared" si="5"/>
        <v>11.003888202203944</v>
      </c>
      <c r="K52" s="1201">
        <f t="shared" si="5"/>
        <v>3.0762839999825706</v>
      </c>
      <c r="L52" s="1201">
        <f t="shared" si="5"/>
        <v>6.9117623563347772</v>
      </c>
      <c r="M52" s="1201">
        <f t="shared" si="5"/>
        <v>3.2097639336928627</v>
      </c>
      <c r="N52" s="1201">
        <f t="shared" si="5"/>
        <v>2.1377123659935542</v>
      </c>
      <c r="O52" s="1201">
        <f t="shared" si="5"/>
        <v>1.8213692804429384</v>
      </c>
      <c r="P52" s="1201">
        <f t="shared" si="5"/>
        <v>9.9370654458360512</v>
      </c>
      <c r="Q52" s="1201">
        <f t="shared" si="5"/>
        <v>95.778896807955931</v>
      </c>
      <c r="R52" s="1201">
        <f t="shared" si="5"/>
        <v>4.2211031920440734</v>
      </c>
      <c r="S52" s="1201">
        <f t="shared" si="5"/>
        <v>100</v>
      </c>
      <c r="T52" s="1235"/>
      <c r="U52" s="1235"/>
      <c r="V52" s="1203"/>
    </row>
    <row r="53" spans="1:27" s="230" customFormat="1" ht="8.1" customHeight="1">
      <c r="A53" s="180" t="s">
        <v>866</v>
      </c>
      <c r="B53" s="1204">
        <v>91656</v>
      </c>
      <c r="C53" s="1204">
        <v>25779</v>
      </c>
      <c r="D53" s="1204">
        <v>11584</v>
      </c>
      <c r="E53" s="1204">
        <v>132994</v>
      </c>
      <c r="F53" s="1204">
        <v>10126</v>
      </c>
      <c r="G53" s="1204">
        <v>48305</v>
      </c>
      <c r="H53" s="1204">
        <v>98173</v>
      </c>
      <c r="I53" s="1204">
        <v>5220</v>
      </c>
      <c r="J53" s="1204">
        <v>80514</v>
      </c>
      <c r="K53" s="1204">
        <v>23110</v>
      </c>
      <c r="L53" s="1204">
        <v>49509</v>
      </c>
      <c r="M53" s="1204">
        <v>23542</v>
      </c>
      <c r="N53" s="1204">
        <v>15645</v>
      </c>
      <c r="O53" s="1204">
        <v>13137</v>
      </c>
      <c r="P53" s="1204">
        <v>70642</v>
      </c>
      <c r="Q53" s="837">
        <f>SUM(B53:P53)</f>
        <v>699936</v>
      </c>
      <c r="R53" s="1204">
        <v>29960</v>
      </c>
      <c r="S53" s="976">
        <f>Q53+R53</f>
        <v>729896</v>
      </c>
      <c r="T53" s="1204">
        <v>58705</v>
      </c>
      <c r="U53" s="976">
        <f>S53+T53</f>
        <v>788601</v>
      </c>
      <c r="V53" s="291" t="s">
        <v>866</v>
      </c>
    </row>
    <row r="54" spans="1:27" s="33" customFormat="1" ht="8.1" customHeight="1">
      <c r="A54" s="1194"/>
      <c r="B54" s="1201">
        <f t="shared" ref="B54:S54" si="6">(B53/$S53)*100</f>
        <v>12.55740543858303</v>
      </c>
      <c r="C54" s="1201">
        <f t="shared" si="6"/>
        <v>3.531873033966483</v>
      </c>
      <c r="D54" s="1201">
        <f t="shared" si="6"/>
        <v>1.5870754189637977</v>
      </c>
      <c r="E54" s="1201">
        <f t="shared" si="6"/>
        <v>18.220952026042067</v>
      </c>
      <c r="F54" s="1201">
        <f t="shared" si="6"/>
        <v>1.3873209333932506</v>
      </c>
      <c r="G54" s="1201">
        <f t="shared" si="6"/>
        <v>6.6180661354494337</v>
      </c>
      <c r="H54" s="1201">
        <f t="shared" si="6"/>
        <v>13.450272367570173</v>
      </c>
      <c r="I54" s="1201">
        <f t="shared" si="6"/>
        <v>0.71517038043776104</v>
      </c>
      <c r="J54" s="1201">
        <f t="shared" si="6"/>
        <v>11.03088659206243</v>
      </c>
      <c r="K54" s="1201">
        <f t="shared" si="6"/>
        <v>3.1662045003671757</v>
      </c>
      <c r="L54" s="1201">
        <f t="shared" si="6"/>
        <v>6.7830211427381437</v>
      </c>
      <c r="M54" s="1201">
        <f t="shared" si="6"/>
        <v>3.2253910146103006</v>
      </c>
      <c r="N54" s="1201">
        <f t="shared" si="6"/>
        <v>2.1434560540131744</v>
      </c>
      <c r="O54" s="1201">
        <f t="shared" si="6"/>
        <v>1.7998454574350318</v>
      </c>
      <c r="P54" s="1201">
        <f t="shared" si="6"/>
        <v>9.6783651369510171</v>
      </c>
      <c r="Q54" s="1201">
        <f t="shared" si="6"/>
        <v>95.895305632583273</v>
      </c>
      <c r="R54" s="1201">
        <f t="shared" si="6"/>
        <v>4.1046943674167284</v>
      </c>
      <c r="S54" s="1201">
        <f t="shared" si="6"/>
        <v>100</v>
      </c>
      <c r="T54" s="1235"/>
      <c r="U54" s="1235"/>
      <c r="V54" s="1203"/>
    </row>
    <row r="55" spans="1:27" s="230" customFormat="1" ht="8.1" customHeight="1">
      <c r="A55" s="274" t="s">
        <v>1051</v>
      </c>
      <c r="B55" s="1204">
        <v>95151</v>
      </c>
      <c r="C55" s="1204">
        <v>27419</v>
      </c>
      <c r="D55" s="1204">
        <v>12127</v>
      </c>
      <c r="E55" s="1204">
        <v>144653</v>
      </c>
      <c r="F55" s="1204">
        <v>10585</v>
      </c>
      <c r="G55" s="1204">
        <v>52209</v>
      </c>
      <c r="H55" s="1204">
        <v>104776</v>
      </c>
      <c r="I55" s="1204">
        <v>5570</v>
      </c>
      <c r="J55" s="1204">
        <v>85382</v>
      </c>
      <c r="K55" s="1204">
        <v>24790</v>
      </c>
      <c r="L55" s="1204">
        <v>51615</v>
      </c>
      <c r="M55" s="1204">
        <v>25165</v>
      </c>
      <c r="N55" s="1204">
        <v>16781</v>
      </c>
      <c r="O55" s="1204">
        <v>13802</v>
      </c>
      <c r="P55" s="1204">
        <v>72955</v>
      </c>
      <c r="Q55" s="837">
        <f>SUM(B55:P55)</f>
        <v>742980</v>
      </c>
      <c r="R55" s="1204">
        <v>31156</v>
      </c>
      <c r="S55" s="976">
        <f>Q55+R55</f>
        <v>774136</v>
      </c>
      <c r="T55" s="1204">
        <v>51592</v>
      </c>
      <c r="U55" s="976">
        <f>S55+T55</f>
        <v>825728</v>
      </c>
      <c r="V55" s="291" t="s">
        <v>1051</v>
      </c>
    </row>
    <row r="56" spans="1:27" s="33" customFormat="1" ht="8.1" customHeight="1">
      <c r="A56" s="1194"/>
      <c r="B56" s="1201">
        <f t="shared" ref="B56:S56" si="7">(B55/$S55)*100</f>
        <v>12.291251149668792</v>
      </c>
      <c r="C56" s="1201">
        <f t="shared" si="7"/>
        <v>3.5418841133857617</v>
      </c>
      <c r="D56" s="1201">
        <f t="shared" si="7"/>
        <v>1.5665206113654448</v>
      </c>
      <c r="E56" s="1201">
        <f t="shared" si="7"/>
        <v>18.685734806287268</v>
      </c>
      <c r="F56" s="1201">
        <f t="shared" si="7"/>
        <v>1.3673308049231658</v>
      </c>
      <c r="G56" s="1201">
        <f t="shared" si="7"/>
        <v>6.7441638161770028</v>
      </c>
      <c r="H56" s="1201">
        <f t="shared" si="7"/>
        <v>13.53457273657342</v>
      </c>
      <c r="I56" s="1201">
        <f t="shared" si="7"/>
        <v>0.71951181704506706</v>
      </c>
      <c r="J56" s="1201">
        <f t="shared" si="7"/>
        <v>11.029328180061384</v>
      </c>
      <c r="K56" s="1201">
        <f t="shared" si="7"/>
        <v>3.2022797027912406</v>
      </c>
      <c r="L56" s="1201">
        <f t="shared" si="7"/>
        <v>6.6674331125280322</v>
      </c>
      <c r="M56" s="1201">
        <f t="shared" si="7"/>
        <v>3.2507208035797328</v>
      </c>
      <c r="N56" s="1201">
        <f t="shared" si="7"/>
        <v>2.1677069662178221</v>
      </c>
      <c r="O56" s="1201">
        <f t="shared" si="7"/>
        <v>1.7828908615540422</v>
      </c>
      <c r="P56" s="1201">
        <f t="shared" si="7"/>
        <v>9.4240546880651461</v>
      </c>
      <c r="Q56" s="1201">
        <f t="shared" si="7"/>
        <v>95.975384170223322</v>
      </c>
      <c r="R56" s="1201">
        <f t="shared" si="7"/>
        <v>4.0246158297766801</v>
      </c>
      <c r="S56" s="1201">
        <f t="shared" si="7"/>
        <v>100</v>
      </c>
      <c r="T56" s="1235"/>
      <c r="U56" s="1235"/>
      <c r="V56" s="1203"/>
    </row>
    <row r="57" spans="1:27" s="230" customFormat="1" ht="8.1" customHeight="1">
      <c r="A57" s="1206" t="s">
        <v>1105</v>
      </c>
      <c r="B57" s="1204">
        <v>97480</v>
      </c>
      <c r="C57" s="1204">
        <v>29170</v>
      </c>
      <c r="D57" s="1204">
        <v>13290</v>
      </c>
      <c r="E57" s="1204">
        <v>159568</v>
      </c>
      <c r="F57" s="1204">
        <v>11243</v>
      </c>
      <c r="G57" s="1204">
        <v>56698</v>
      </c>
      <c r="H57" s="1204">
        <v>111426</v>
      </c>
      <c r="I57" s="1204">
        <v>5950</v>
      </c>
      <c r="J57" s="1204">
        <v>90475</v>
      </c>
      <c r="K57" s="1204">
        <v>26719</v>
      </c>
      <c r="L57" s="1204">
        <v>53888</v>
      </c>
      <c r="M57" s="1204">
        <v>27637</v>
      </c>
      <c r="N57" s="1204">
        <v>18125</v>
      </c>
      <c r="O57" s="1204">
        <v>14517</v>
      </c>
      <c r="P57" s="1204">
        <v>75352</v>
      </c>
      <c r="Q57" s="837">
        <f>SUM(B57:P57)</f>
        <v>791538</v>
      </c>
      <c r="R57" s="1204">
        <v>33324</v>
      </c>
      <c r="S57" s="976">
        <f>Q57+R57</f>
        <v>824862</v>
      </c>
      <c r="T57" s="1204">
        <v>53548</v>
      </c>
      <c r="U57" s="976">
        <f>S57+T57</f>
        <v>878410</v>
      </c>
      <c r="V57" s="1243" t="s">
        <v>1105</v>
      </c>
    </row>
    <row r="58" spans="1:27" s="33" customFormat="1" ht="8.1" customHeight="1">
      <c r="A58" s="1194"/>
      <c r="B58" s="1201">
        <f t="shared" ref="B58:S60" si="8">(B57/$S57)*100</f>
        <v>11.817734360414226</v>
      </c>
      <c r="C58" s="1201">
        <f t="shared" si="8"/>
        <v>3.5363491105178806</v>
      </c>
      <c r="D58" s="1201">
        <f t="shared" si="8"/>
        <v>1.6111785971471591</v>
      </c>
      <c r="E58" s="1201">
        <f t="shared" si="8"/>
        <v>19.344811616973505</v>
      </c>
      <c r="F58" s="1201">
        <f t="shared" si="8"/>
        <v>1.3630158741704674</v>
      </c>
      <c r="G58" s="1201">
        <f t="shared" si="8"/>
        <v>6.8736346200940286</v>
      </c>
      <c r="H58" s="1201">
        <f t="shared" si="8"/>
        <v>13.50844141201801</v>
      </c>
      <c r="I58" s="1201">
        <f t="shared" si="8"/>
        <v>0.72133278051358896</v>
      </c>
      <c r="J58" s="1201">
        <f t="shared" si="8"/>
        <v>10.968501397809574</v>
      </c>
      <c r="K58" s="1201">
        <f t="shared" si="8"/>
        <v>3.2392084979063167</v>
      </c>
      <c r="L58" s="1201">
        <f t="shared" si="8"/>
        <v>6.5329715758514766</v>
      </c>
      <c r="M58" s="1201">
        <f t="shared" si="8"/>
        <v>3.350499841185556</v>
      </c>
      <c r="N58" s="1201">
        <f t="shared" si="8"/>
        <v>2.197337251564504</v>
      </c>
      <c r="O58" s="1201">
        <f t="shared" si="8"/>
        <v>1.7599307520530707</v>
      </c>
      <c r="P58" s="1201">
        <f t="shared" si="8"/>
        <v>9.1351038113041927</v>
      </c>
      <c r="Q58" s="1201">
        <f t="shared" si="8"/>
        <v>95.960051499523559</v>
      </c>
      <c r="R58" s="1201">
        <f t="shared" si="8"/>
        <v>4.0399485004764433</v>
      </c>
      <c r="S58" s="1201">
        <f t="shared" si="8"/>
        <v>100</v>
      </c>
      <c r="T58" s="1235"/>
      <c r="U58" s="1235"/>
      <c r="V58" s="1203"/>
    </row>
    <row r="59" spans="1:27" s="230" customFormat="1" ht="8.1" customHeight="1">
      <c r="A59" s="1206" t="s">
        <v>1231</v>
      </c>
      <c r="B59" s="1204">
        <v>99228</v>
      </c>
      <c r="C59" s="1204">
        <v>30950</v>
      </c>
      <c r="D59" s="1204">
        <v>14997</v>
      </c>
      <c r="E59" s="1204">
        <v>178223</v>
      </c>
      <c r="F59" s="1204">
        <v>12742</v>
      </c>
      <c r="G59" s="1204">
        <v>61552</v>
      </c>
      <c r="H59" s="1204">
        <v>118665</v>
      </c>
      <c r="I59" s="1204">
        <v>6366</v>
      </c>
      <c r="J59" s="1204">
        <v>95972</v>
      </c>
      <c r="K59" s="1204">
        <v>28787</v>
      </c>
      <c r="L59" s="1204">
        <v>56297</v>
      </c>
      <c r="M59" s="1204">
        <v>30796</v>
      </c>
      <c r="N59" s="1204">
        <v>20248</v>
      </c>
      <c r="O59" s="1204">
        <v>15612</v>
      </c>
      <c r="P59" s="1204">
        <v>77838</v>
      </c>
      <c r="Q59" s="837">
        <f>SUM(B59:P59)</f>
        <v>848273</v>
      </c>
      <c r="R59" s="1204">
        <v>35266</v>
      </c>
      <c r="S59" s="976">
        <f>Q59+R59</f>
        <v>883539</v>
      </c>
      <c r="T59" s="1204">
        <v>50891</v>
      </c>
      <c r="U59" s="976">
        <f>S59+T59</f>
        <v>934430</v>
      </c>
      <c r="V59" s="1243" t="s">
        <v>1231</v>
      </c>
    </row>
    <row r="60" spans="1:27" s="33" customFormat="1" ht="8.1" customHeight="1">
      <c r="A60" s="1194"/>
      <c r="B60" s="1201">
        <f t="shared" si="8"/>
        <v>11.230743634406631</v>
      </c>
      <c r="C60" s="1201">
        <f t="shared" si="8"/>
        <v>3.5029579905357884</v>
      </c>
      <c r="D60" s="1201">
        <f t="shared" si="8"/>
        <v>1.6973783839762593</v>
      </c>
      <c r="E60" s="1201">
        <f t="shared" si="8"/>
        <v>20.171492146922773</v>
      </c>
      <c r="F60" s="1201">
        <f t="shared" si="8"/>
        <v>1.4421547888661395</v>
      </c>
      <c r="G60" s="1201">
        <f t="shared" si="8"/>
        <v>6.9665289251521436</v>
      </c>
      <c r="H60" s="1201">
        <f t="shared" si="8"/>
        <v>13.430646524941173</v>
      </c>
      <c r="I60" s="1201">
        <f t="shared" si="8"/>
        <v>0.7205114884572158</v>
      </c>
      <c r="J60" s="1201">
        <f t="shared" si="8"/>
        <v>10.862225662930555</v>
      </c>
      <c r="K60" s="1201">
        <f t="shared" si="8"/>
        <v>3.2581470653813809</v>
      </c>
      <c r="L60" s="1201">
        <f t="shared" si="8"/>
        <v>6.3717617445296693</v>
      </c>
      <c r="M60" s="1201">
        <f t="shared" si="8"/>
        <v>3.4855280864794875</v>
      </c>
      <c r="N60" s="1201">
        <f t="shared" si="8"/>
        <v>2.2916928398180501</v>
      </c>
      <c r="O60" s="1201">
        <f t="shared" si="8"/>
        <v>1.7669848190062918</v>
      </c>
      <c r="P60" s="1201">
        <f t="shared" si="8"/>
        <v>8.8097978697035444</v>
      </c>
      <c r="Q60" s="1201">
        <f t="shared" si="8"/>
        <v>96.00855197110711</v>
      </c>
      <c r="R60" s="1201">
        <f t="shared" si="8"/>
        <v>3.9914480288928953</v>
      </c>
      <c r="S60" s="1201">
        <f t="shared" si="8"/>
        <v>100</v>
      </c>
      <c r="T60" s="1235"/>
      <c r="U60" s="1235"/>
      <c r="V60" s="1203"/>
    </row>
    <row r="61" spans="1:27" s="230" customFormat="1" ht="8.1" customHeight="1">
      <c r="A61" s="180" t="s">
        <v>1263</v>
      </c>
      <c r="B61" s="1204">
        <v>101173</v>
      </c>
      <c r="C61" s="1204">
        <v>32879</v>
      </c>
      <c r="D61" s="1204">
        <v>16330</v>
      </c>
      <c r="E61" s="1204">
        <v>197765</v>
      </c>
      <c r="F61" s="1204">
        <v>13820</v>
      </c>
      <c r="G61" s="1204">
        <v>66951</v>
      </c>
      <c r="H61" s="1204">
        <v>127417</v>
      </c>
      <c r="I61" s="1204">
        <v>6820</v>
      </c>
      <c r="J61" s="1204">
        <v>102463</v>
      </c>
      <c r="K61" s="1204">
        <v>31413</v>
      </c>
      <c r="L61" s="1204">
        <v>58997</v>
      </c>
      <c r="M61" s="1204">
        <v>33615</v>
      </c>
      <c r="N61" s="1204">
        <v>22547</v>
      </c>
      <c r="O61" s="1204">
        <v>16804</v>
      </c>
      <c r="P61" s="1204">
        <v>80653</v>
      </c>
      <c r="Q61" s="837">
        <f>SUM(B61:P61)</f>
        <v>909647</v>
      </c>
      <c r="R61" s="1204">
        <v>38252</v>
      </c>
      <c r="S61" s="976">
        <f>Q61+R61</f>
        <v>947899</v>
      </c>
      <c r="T61" s="976">
        <v>40731</v>
      </c>
      <c r="U61" s="976">
        <f>S61+T61</f>
        <v>988630</v>
      </c>
      <c r="V61" s="291" t="s">
        <v>1263</v>
      </c>
    </row>
    <row r="62" spans="1:27" s="33" customFormat="1" ht="8.1" customHeight="1">
      <c r="A62" s="1194"/>
      <c r="B62" s="1201">
        <f t="shared" ref="B62:S68" si="9">(B61/$S61)*100</f>
        <v>10.673394528319999</v>
      </c>
      <c r="C62" s="1201">
        <f t="shared" si="9"/>
        <v>3.4686184920545329</v>
      </c>
      <c r="D62" s="1201">
        <f t="shared" si="9"/>
        <v>1.7227573823793463</v>
      </c>
      <c r="E62" s="1201">
        <f t="shared" si="9"/>
        <v>20.863509719917417</v>
      </c>
      <c r="F62" s="1201">
        <f t="shared" si="9"/>
        <v>1.4579612384863789</v>
      </c>
      <c r="G62" s="1201">
        <f t="shared" si="9"/>
        <v>7.0630942748119789</v>
      </c>
      <c r="H62" s="1201">
        <f t="shared" si="9"/>
        <v>13.442043930840732</v>
      </c>
      <c r="I62" s="1201">
        <f t="shared" si="9"/>
        <v>0.71948593679284401</v>
      </c>
      <c r="J62" s="1201">
        <f t="shared" si="9"/>
        <v>10.809484976774952</v>
      </c>
      <c r="K62" s="1201">
        <f t="shared" si="9"/>
        <v>3.313960664585573</v>
      </c>
      <c r="L62" s="1201">
        <f t="shared" si="9"/>
        <v>6.2239753391447818</v>
      </c>
      <c r="M62" s="1201">
        <f t="shared" si="9"/>
        <v>3.5462638952040249</v>
      </c>
      <c r="N62" s="1201">
        <f t="shared" si="9"/>
        <v>2.3786289467548758</v>
      </c>
      <c r="O62" s="1201">
        <f t="shared" si="9"/>
        <v>1.7727627099511656</v>
      </c>
      <c r="P62" s="1201">
        <f t="shared" si="9"/>
        <v>8.508606929641239</v>
      </c>
      <c r="Q62" s="1201">
        <f t="shared" si="9"/>
        <v>95.964548965659844</v>
      </c>
      <c r="R62" s="1201">
        <f t="shared" si="9"/>
        <v>4.0354510343401566</v>
      </c>
      <c r="S62" s="1201">
        <f t="shared" si="9"/>
        <v>100</v>
      </c>
      <c r="T62" s="1235"/>
      <c r="U62" s="1235"/>
      <c r="V62" s="1203"/>
      <c r="W62" s="66"/>
      <c r="X62" s="66"/>
      <c r="Y62" s="66"/>
      <c r="Z62" s="66"/>
      <c r="AA62" s="66"/>
    </row>
    <row r="63" spans="1:27" s="230" customFormat="1" ht="8.1" customHeight="1">
      <c r="A63" s="180" t="s">
        <v>1392</v>
      </c>
      <c r="B63" s="1204">
        <v>104688</v>
      </c>
      <c r="C63" s="1204">
        <v>34974</v>
      </c>
      <c r="D63" s="1204">
        <v>17474</v>
      </c>
      <c r="E63" s="1204">
        <v>224270</v>
      </c>
      <c r="F63" s="1204">
        <v>15089</v>
      </c>
      <c r="G63" s="1204">
        <v>73595</v>
      </c>
      <c r="H63" s="1204">
        <v>136914</v>
      </c>
      <c r="I63" s="1204">
        <v>7316</v>
      </c>
      <c r="J63" s="1204">
        <v>109208</v>
      </c>
      <c r="K63" s="1204">
        <v>33893</v>
      </c>
      <c r="L63" s="1204">
        <v>61936</v>
      </c>
      <c r="M63" s="1204">
        <v>36463</v>
      </c>
      <c r="N63" s="1204">
        <v>24127</v>
      </c>
      <c r="O63" s="1204">
        <v>17984</v>
      </c>
      <c r="P63" s="1204">
        <v>83598</v>
      </c>
      <c r="Q63" s="837">
        <f>SUM(B63:P63)</f>
        <v>981529</v>
      </c>
      <c r="R63" s="1204">
        <v>40909</v>
      </c>
      <c r="S63" s="976">
        <f>Q63+R63</f>
        <v>1022438</v>
      </c>
      <c r="T63" s="976">
        <v>46626</v>
      </c>
      <c r="U63" s="976">
        <f>S63+T63</f>
        <v>1069064</v>
      </c>
      <c r="V63" s="291" t="s">
        <v>1392</v>
      </c>
      <c r="W63" s="180"/>
      <c r="X63" s="1207"/>
      <c r="Y63" s="180"/>
      <c r="Z63" s="180"/>
      <c r="AA63" s="180"/>
    </row>
    <row r="64" spans="1:27" ht="8.1" customHeight="1">
      <c r="A64" s="1194"/>
      <c r="B64" s="1201">
        <f t="shared" si="9"/>
        <v>10.239056060122961</v>
      </c>
      <c r="C64" s="1201">
        <f t="shared" si="9"/>
        <v>3.4206475111449302</v>
      </c>
      <c r="D64" s="1201">
        <f t="shared" si="9"/>
        <v>1.7090522848329188</v>
      </c>
      <c r="E64" s="1201">
        <f t="shared" si="9"/>
        <v>21.934826365999697</v>
      </c>
      <c r="F64" s="1201">
        <f t="shared" si="9"/>
        <v>1.4757863068469677</v>
      </c>
      <c r="G64" s="1201">
        <f t="shared" si="9"/>
        <v>7.1979914674532841</v>
      </c>
      <c r="H64" s="1201">
        <f t="shared" si="9"/>
        <v>13.390934218016154</v>
      </c>
      <c r="I64" s="1201">
        <f t="shared" si="9"/>
        <v>0.7155446100399242</v>
      </c>
      <c r="J64" s="1201">
        <f t="shared" si="9"/>
        <v>10.681136655718976</v>
      </c>
      <c r="K64" s="1201">
        <f t="shared" si="9"/>
        <v>3.3149198288795998</v>
      </c>
      <c r="L64" s="1201">
        <f t="shared" si="9"/>
        <v>6.05767782496347</v>
      </c>
      <c r="M64" s="1201">
        <f t="shared" si="9"/>
        <v>3.5662798135437059</v>
      </c>
      <c r="N64" s="1201">
        <f t="shared" si="9"/>
        <v>2.3597518871559937</v>
      </c>
      <c r="O64" s="1201">
        <f t="shared" si="9"/>
        <v>1.7589330599997259</v>
      </c>
      <c r="P64" s="1201">
        <f t="shared" si="9"/>
        <v>8.1763392988132289</v>
      </c>
      <c r="Q64" s="1201">
        <f t="shared" si="9"/>
        <v>95.998877193531541</v>
      </c>
      <c r="R64" s="1201">
        <f t="shared" si="9"/>
        <v>4.0011228064684605</v>
      </c>
      <c r="S64" s="1201">
        <f t="shared" si="9"/>
        <v>100</v>
      </c>
      <c r="T64" s="1235"/>
      <c r="U64" s="1235"/>
      <c r="V64" s="1203"/>
      <c r="W64" s="74"/>
      <c r="X64" s="631"/>
      <c r="Y64" s="74"/>
      <c r="Z64" s="74"/>
      <c r="AA64" s="74"/>
    </row>
    <row r="65" spans="1:27" s="453" customFormat="1" ht="9" customHeight="1">
      <c r="A65" s="180" t="s">
        <v>1511</v>
      </c>
      <c r="B65" s="1204">
        <v>107991</v>
      </c>
      <c r="C65" s="1204">
        <v>37146</v>
      </c>
      <c r="D65" s="1204">
        <v>18501</v>
      </c>
      <c r="E65" s="1204">
        <v>256118</v>
      </c>
      <c r="F65" s="1204">
        <v>16535</v>
      </c>
      <c r="G65" s="1204">
        <v>81139</v>
      </c>
      <c r="H65" s="1204">
        <v>148058</v>
      </c>
      <c r="I65" s="1204">
        <v>7870</v>
      </c>
      <c r="J65" s="1204">
        <v>117056</v>
      </c>
      <c r="K65" s="1204">
        <v>36394</v>
      </c>
      <c r="L65" s="1204">
        <v>65173</v>
      </c>
      <c r="M65" s="1204">
        <v>38795</v>
      </c>
      <c r="N65" s="1204">
        <v>25976</v>
      </c>
      <c r="O65" s="1204">
        <v>20105</v>
      </c>
      <c r="P65" s="1204">
        <v>86706</v>
      </c>
      <c r="Q65" s="837">
        <f>SUM(B65:P65)</f>
        <v>1063563</v>
      </c>
      <c r="R65" s="1204">
        <v>42231</v>
      </c>
      <c r="S65" s="976">
        <f>Q65+R65</f>
        <v>1105794</v>
      </c>
      <c r="T65" s="1204">
        <v>49412</v>
      </c>
      <c r="U65" s="976">
        <f>S65+T65</f>
        <v>1155206</v>
      </c>
      <c r="V65" s="291" t="s">
        <v>1511</v>
      </c>
      <c r="W65" s="499"/>
      <c r="X65" s="1208"/>
      <c r="Y65" s="499"/>
      <c r="Z65" s="499"/>
      <c r="AA65" s="499"/>
    </row>
    <row r="66" spans="1:27" ht="8.1" customHeight="1">
      <c r="A66" s="1194"/>
      <c r="B66" s="1201">
        <f t="shared" si="9"/>
        <v>9.765923852001368</v>
      </c>
      <c r="C66" s="1201">
        <f t="shared" si="9"/>
        <v>3.3592151883623895</v>
      </c>
      <c r="D66" s="1201">
        <f t="shared" si="9"/>
        <v>1.6730964356833189</v>
      </c>
      <c r="E66" s="1201">
        <f t="shared" si="9"/>
        <v>23.161456835540797</v>
      </c>
      <c r="F66" s="1201">
        <f t="shared" si="9"/>
        <v>1.4953056355885455</v>
      </c>
      <c r="G66" s="1201">
        <f t="shared" si="9"/>
        <v>7.3376234633213784</v>
      </c>
      <c r="H66" s="1201">
        <f t="shared" si="9"/>
        <v>13.389293123312299</v>
      </c>
      <c r="I66" s="1201">
        <f t="shared" si="9"/>
        <v>0.71170579692058378</v>
      </c>
      <c r="J66" s="1201">
        <f t="shared" si="9"/>
        <v>10.585696793435305</v>
      </c>
      <c r="K66" s="1201">
        <f t="shared" si="9"/>
        <v>3.2912097551623538</v>
      </c>
      <c r="L66" s="1201">
        <f t="shared" si="9"/>
        <v>5.8937740664174338</v>
      </c>
      <c r="M66" s="1201">
        <f t="shared" si="9"/>
        <v>3.5083388045151267</v>
      </c>
      <c r="N66" s="1201">
        <f t="shared" si="9"/>
        <v>2.349081293622501</v>
      </c>
      <c r="O66" s="1201">
        <f t="shared" si="9"/>
        <v>1.8181505777748839</v>
      </c>
      <c r="P66" s="1201">
        <f t="shared" si="9"/>
        <v>7.8410626210668539</v>
      </c>
      <c r="Q66" s="1201">
        <f t="shared" si="9"/>
        <v>96.180934242725129</v>
      </c>
      <c r="R66" s="1201">
        <f t="shared" si="9"/>
        <v>3.819065757274863</v>
      </c>
      <c r="S66" s="1201">
        <f t="shared" si="9"/>
        <v>100</v>
      </c>
      <c r="T66" s="1235"/>
      <c r="U66" s="1235"/>
      <c r="V66" s="1203"/>
      <c r="W66" s="74"/>
      <c r="X66" s="631"/>
      <c r="Y66" s="74"/>
      <c r="Z66" s="74"/>
      <c r="AA66" s="74"/>
    </row>
    <row r="67" spans="1:27" s="453" customFormat="1" ht="8.25" customHeight="1">
      <c r="A67" s="1450" t="s">
        <v>1602</v>
      </c>
      <c r="B67" s="1204">
        <v>112423</v>
      </c>
      <c r="C67" s="1204">
        <v>39383</v>
      </c>
      <c r="D67" s="1204">
        <v>18681</v>
      </c>
      <c r="E67" s="1204">
        <v>260728</v>
      </c>
      <c r="F67" s="1204">
        <v>16814</v>
      </c>
      <c r="G67" s="1204">
        <v>88169</v>
      </c>
      <c r="H67" s="1204">
        <v>154029</v>
      </c>
      <c r="I67" s="1204">
        <v>8007</v>
      </c>
      <c r="J67" s="1204">
        <v>121355</v>
      </c>
      <c r="K67" s="1204">
        <v>37521</v>
      </c>
      <c r="L67" s="1204">
        <v>68317</v>
      </c>
      <c r="M67" s="1204">
        <v>40906</v>
      </c>
      <c r="N67" s="1204">
        <v>27290</v>
      </c>
      <c r="O67" s="1204">
        <v>22109</v>
      </c>
      <c r="P67" s="1204">
        <v>89319</v>
      </c>
      <c r="Q67" s="837">
        <f>SUM(B67:P67)</f>
        <v>1105051</v>
      </c>
      <c r="R67" s="1204">
        <v>39546</v>
      </c>
      <c r="S67" s="976">
        <f>Q67+R67</f>
        <v>1144597</v>
      </c>
      <c r="T67" s="1204">
        <v>55948</v>
      </c>
      <c r="U67" s="976">
        <f>S67+T67</f>
        <v>1200545</v>
      </c>
      <c r="V67" s="291" t="s">
        <v>1602</v>
      </c>
      <c r="W67" s="499"/>
      <c r="X67" s="499"/>
      <c r="Y67" s="499"/>
      <c r="Z67" s="499"/>
      <c r="AA67" s="499"/>
    </row>
    <row r="68" spans="1:27" ht="6.75" customHeight="1">
      <c r="A68" s="1194"/>
      <c r="B68" s="1201">
        <f>(B67/$S67)*100</f>
        <v>9.822059641952583</v>
      </c>
      <c r="C68" s="1201">
        <f t="shared" si="9"/>
        <v>3.4407743511471724</v>
      </c>
      <c r="D68" s="1201">
        <f t="shared" si="9"/>
        <v>1.6321028274580485</v>
      </c>
      <c r="E68" s="1201">
        <f t="shared" si="9"/>
        <v>22.779021786707464</v>
      </c>
      <c r="F68" s="1201">
        <f t="shared" si="9"/>
        <v>1.4689886484063823</v>
      </c>
      <c r="G68" s="1201">
        <f t="shared" si="9"/>
        <v>7.7030605531903369</v>
      </c>
      <c r="H68" s="1201">
        <f t="shared" si="9"/>
        <v>13.457050822254471</v>
      </c>
      <c r="I68" s="1201">
        <f t="shared" si="9"/>
        <v>0.69954752633459638</v>
      </c>
      <c r="J68" s="1201">
        <f t="shared" si="9"/>
        <v>10.602421638358305</v>
      </c>
      <c r="K68" s="1201">
        <f t="shared" si="9"/>
        <v>3.2780970070688635</v>
      </c>
      <c r="L68" s="1201">
        <f t="shared" si="9"/>
        <v>5.9686509749719772</v>
      </c>
      <c r="M68" s="1201">
        <f t="shared" si="9"/>
        <v>3.5738342840318467</v>
      </c>
      <c r="N68" s="1201">
        <f t="shared" si="9"/>
        <v>2.3842452845848801</v>
      </c>
      <c r="O68" s="1201">
        <f t="shared" si="9"/>
        <v>1.9315968851919059</v>
      </c>
      <c r="P68" s="1201">
        <f t="shared" si="9"/>
        <v>7.8035325970625475</v>
      </c>
      <c r="Q68" s="1201">
        <f t="shared" si="9"/>
        <v>96.544984828721383</v>
      </c>
      <c r="R68" s="1201">
        <f t="shared" si="9"/>
        <v>3.4550151712786246</v>
      </c>
      <c r="S68" s="1201">
        <f t="shared" si="9"/>
        <v>100</v>
      </c>
      <c r="T68" s="1235"/>
      <c r="U68" s="1235"/>
      <c r="V68" s="1203"/>
      <c r="W68" s="1209"/>
      <c r="X68" s="74"/>
    </row>
    <row r="69" spans="1:27" s="453" customFormat="1" ht="10.5" customHeight="1">
      <c r="A69" s="180" t="s">
        <v>2191</v>
      </c>
      <c r="B69" s="1204">
        <v>115405</v>
      </c>
      <c r="C69" s="1204">
        <v>41643</v>
      </c>
      <c r="D69" s="1204">
        <v>18735</v>
      </c>
      <c r="E69" s="1204">
        <v>275764</v>
      </c>
      <c r="F69" s="1204">
        <v>17611</v>
      </c>
      <c r="G69" s="1204">
        <v>95824</v>
      </c>
      <c r="H69" s="1204">
        <v>164109</v>
      </c>
      <c r="I69" s="1204">
        <v>8556</v>
      </c>
      <c r="J69" s="1204">
        <v>128718</v>
      </c>
      <c r="K69" s="1204">
        <v>39139</v>
      </c>
      <c r="L69" s="1204">
        <v>71662</v>
      </c>
      <c r="M69" s="1204">
        <v>43424</v>
      </c>
      <c r="N69" s="1204">
        <v>28807</v>
      </c>
      <c r="O69" s="1204">
        <v>24308</v>
      </c>
      <c r="P69" s="1204">
        <v>92044</v>
      </c>
      <c r="Q69" s="837">
        <f>SUM(B69:P69)</f>
        <v>1165749</v>
      </c>
      <c r="R69" s="1204">
        <v>41497</v>
      </c>
      <c r="S69" s="976">
        <f>Q69+R69</f>
        <v>1207246</v>
      </c>
      <c r="T69" s="1204">
        <v>74873</v>
      </c>
      <c r="U69" s="976">
        <f>S69+T69</f>
        <v>1282119</v>
      </c>
      <c r="V69" s="291" t="s">
        <v>2191</v>
      </c>
      <c r="W69" s="499"/>
      <c r="X69" s="499"/>
    </row>
    <row r="70" spans="1:27" ht="8.25" customHeight="1" thickBot="1">
      <c r="A70" s="898"/>
      <c r="B70" s="1236">
        <f>(B69/$S69)*100</f>
        <v>9.5593607268112706</v>
      </c>
      <c r="C70" s="1236">
        <f t="shared" ref="C70:S70" si="10">(C69/$S69)*100</f>
        <v>3.4494212447173158</v>
      </c>
      <c r="D70" s="1236">
        <f t="shared" si="10"/>
        <v>1.5518792358806737</v>
      </c>
      <c r="E70" s="1236">
        <f t="shared" si="10"/>
        <v>22.842403288145082</v>
      </c>
      <c r="F70" s="1236">
        <f t="shared" si="10"/>
        <v>1.4587747650437441</v>
      </c>
      <c r="G70" s="1236">
        <f t="shared" si="10"/>
        <v>7.9374046383255781</v>
      </c>
      <c r="H70" s="1236">
        <f t="shared" si="10"/>
        <v>13.59366690798727</v>
      </c>
      <c r="I70" s="1236">
        <f t="shared" si="10"/>
        <v>0.70872050932452879</v>
      </c>
      <c r="J70" s="1236">
        <f t="shared" si="10"/>
        <v>10.6621185740106</v>
      </c>
      <c r="K70" s="1236">
        <f t="shared" si="10"/>
        <v>3.2420070143119131</v>
      </c>
      <c r="L70" s="1236">
        <f t="shared" si="10"/>
        <v>5.9359898479680195</v>
      </c>
      <c r="M70" s="1236">
        <f t="shared" si="10"/>
        <v>3.5969471010879306</v>
      </c>
      <c r="N70" s="1236">
        <f t="shared" si="10"/>
        <v>2.3861748144123069</v>
      </c>
      <c r="O70" s="1236">
        <f t="shared" si="10"/>
        <v>2.0135084315872653</v>
      </c>
      <c r="P70" s="1236">
        <f t="shared" si="10"/>
        <v>7.6242952968988922</v>
      </c>
      <c r="Q70" s="1236">
        <f t="shared" si="10"/>
        <v>96.562672396512397</v>
      </c>
      <c r="R70" s="1236">
        <f t="shared" si="10"/>
        <v>3.4373276034876077</v>
      </c>
      <c r="S70" s="1236">
        <f t="shared" si="10"/>
        <v>100</v>
      </c>
      <c r="T70" s="1237"/>
      <c r="U70" s="1237"/>
      <c r="V70" s="899"/>
      <c r="W70" s="74"/>
      <c r="X70" s="74"/>
    </row>
    <row r="71" spans="1:27" ht="12.75" customHeight="1">
      <c r="A71" s="81" t="s">
        <v>275</v>
      </c>
      <c r="B71" s="2265" t="s">
        <v>2192</v>
      </c>
      <c r="C71" s="2265"/>
      <c r="D71" s="2265"/>
      <c r="E71" s="2265"/>
      <c r="F71" s="2265"/>
      <c r="G71" s="2265"/>
      <c r="H71" s="2265"/>
      <c r="I71" s="2265"/>
      <c r="J71" s="2265"/>
      <c r="K71" s="2265"/>
      <c r="L71" s="2266" t="s">
        <v>2193</v>
      </c>
      <c r="M71" s="2267"/>
      <c r="N71" s="2267"/>
      <c r="O71" s="2267"/>
      <c r="P71" s="2268"/>
      <c r="Q71" s="2267"/>
      <c r="R71" s="2267"/>
      <c r="S71" s="2267"/>
      <c r="T71" s="2267"/>
      <c r="U71" s="2269" t="s">
        <v>1674</v>
      </c>
      <c r="V71" s="2269"/>
      <c r="W71" s="74"/>
      <c r="X71" s="74"/>
    </row>
    <row r="72" spans="1:27">
      <c r="H72" s="1210"/>
      <c r="W72" s="74"/>
      <c r="X72" s="74"/>
    </row>
    <row r="73" spans="1:27">
      <c r="H73" s="1210"/>
      <c r="W73" s="74"/>
      <c r="X73" s="74"/>
    </row>
    <row r="74" spans="1:27">
      <c r="H74" s="1211"/>
      <c r="W74" s="74"/>
      <c r="X74" s="74"/>
    </row>
    <row r="75" spans="1:27">
      <c r="H75" s="1211"/>
      <c r="W75" s="74"/>
      <c r="X75" s="74"/>
    </row>
    <row r="76" spans="1:27">
      <c r="H76" s="1212"/>
    </row>
    <row r="77" spans="1:27">
      <c r="H77" s="1212"/>
    </row>
    <row r="78" spans="1:27">
      <c r="H78" s="1211"/>
    </row>
    <row r="79" spans="1:27">
      <c r="H79" s="1211"/>
    </row>
    <row r="80" spans="1:27">
      <c r="H80" s="1211"/>
    </row>
    <row r="81" spans="8:8">
      <c r="H81" s="1211"/>
    </row>
    <row r="82" spans="8:8">
      <c r="H82" s="1211"/>
    </row>
    <row r="83" spans="8:8">
      <c r="H83" s="1211"/>
    </row>
    <row r="84" spans="8:8">
      <c r="H84" s="1212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58"/>
  <sheetViews>
    <sheetView zoomScale="170" zoomScaleNormal="170" workbookViewId="0">
      <pane ySplit="4" topLeftCell="A32" activePane="bottomLeft" state="frozen"/>
      <selection activeCell="F85" sqref="F85"/>
      <selection pane="bottomLeft" activeCell="I20" sqref="I20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76"/>
      <c r="B1" s="1176"/>
      <c r="C1" s="1177" t="s">
        <v>2227</v>
      </c>
      <c r="D1" s="1177"/>
      <c r="E1" s="2275" t="s">
        <v>2228</v>
      </c>
      <c r="F1" s="2275"/>
      <c r="G1" s="2275"/>
      <c r="H1" s="2275"/>
      <c r="I1" s="2275"/>
      <c r="J1" s="2275"/>
      <c r="K1" s="2275"/>
      <c r="L1" s="2275"/>
      <c r="M1" s="2275"/>
      <c r="N1" s="2257" t="s">
        <v>2161</v>
      </c>
      <c r="O1" s="2257"/>
      <c r="P1" s="2257"/>
      <c r="Q1" s="2257"/>
      <c r="R1" s="2257"/>
      <c r="S1" s="2257"/>
      <c r="T1" s="2257"/>
      <c r="U1" s="2257"/>
      <c r="V1" s="2257"/>
      <c r="W1" s="2257"/>
      <c r="X1" s="2257"/>
      <c r="Y1" s="2270" t="s">
        <v>1140</v>
      </c>
      <c r="Z1" s="2271"/>
      <c r="AA1" s="53"/>
    </row>
    <row r="2" spans="1:27" s="93" customFormat="1" ht="11.25" customHeight="1">
      <c r="A2" s="1828"/>
      <c r="B2" s="1828"/>
      <c r="E2" s="1828"/>
      <c r="F2" s="1828"/>
      <c r="G2" s="1828"/>
      <c r="H2" s="1828"/>
      <c r="I2" s="1828"/>
      <c r="J2" s="2272"/>
      <c r="K2" s="2272"/>
      <c r="L2" s="2272"/>
      <c r="M2" s="94"/>
      <c r="N2" s="94"/>
      <c r="O2" s="94"/>
      <c r="Y2" s="2273" t="s">
        <v>24</v>
      </c>
      <c r="Z2" s="2273"/>
    </row>
    <row r="3" spans="1:27" s="42" customFormat="1" ht="69" customHeight="1">
      <c r="A3" s="2182" t="s">
        <v>498</v>
      </c>
      <c r="B3" s="1817" t="s">
        <v>2162</v>
      </c>
      <c r="C3" s="1817" t="s">
        <v>1333</v>
      </c>
      <c r="D3" s="1817" t="s">
        <v>270</v>
      </c>
      <c r="E3" s="1817" t="s">
        <v>2163</v>
      </c>
      <c r="F3" s="1817" t="s">
        <v>2164</v>
      </c>
      <c r="G3" s="1817" t="s">
        <v>271</v>
      </c>
      <c r="H3" s="1817" t="s">
        <v>1342</v>
      </c>
      <c r="I3" s="1817" t="s">
        <v>2165</v>
      </c>
      <c r="J3" s="1817" t="s">
        <v>2166</v>
      </c>
      <c r="K3" s="1817" t="s">
        <v>2167</v>
      </c>
      <c r="L3" s="1817" t="s">
        <v>2168</v>
      </c>
      <c r="M3" s="1817" t="s">
        <v>2169</v>
      </c>
      <c r="N3" s="1817" t="s">
        <v>2170</v>
      </c>
      <c r="O3" s="1817" t="s">
        <v>2171</v>
      </c>
      <c r="P3" s="1817" t="s">
        <v>1338</v>
      </c>
      <c r="Q3" s="1817" t="s">
        <v>273</v>
      </c>
      <c r="R3" s="1817" t="s">
        <v>2172</v>
      </c>
      <c r="S3" s="1817" t="s">
        <v>2173</v>
      </c>
      <c r="T3" s="1817" t="s">
        <v>2174</v>
      </c>
      <c r="U3" s="1817" t="s">
        <v>2175</v>
      </c>
      <c r="V3" s="1817" t="s">
        <v>2176</v>
      </c>
      <c r="W3" s="1817" t="s">
        <v>2177</v>
      </c>
      <c r="X3" s="1817" t="s">
        <v>269</v>
      </c>
      <c r="Y3" s="1816" t="s">
        <v>2178</v>
      </c>
      <c r="Z3" s="2182" t="s">
        <v>498</v>
      </c>
    </row>
    <row r="4" spans="1:27" s="49" customFormat="1" ht="11.25" customHeight="1">
      <c r="A4" s="2109"/>
      <c r="B4" s="637">
        <v>1</v>
      </c>
      <c r="C4" s="637">
        <v>2</v>
      </c>
      <c r="D4" s="637">
        <v>3</v>
      </c>
      <c r="E4" s="637">
        <v>4</v>
      </c>
      <c r="F4" s="637">
        <v>5</v>
      </c>
      <c r="G4" s="637">
        <v>6</v>
      </c>
      <c r="H4" s="637">
        <v>7</v>
      </c>
      <c r="I4" s="637">
        <v>8</v>
      </c>
      <c r="J4" s="637">
        <v>9</v>
      </c>
      <c r="K4" s="637">
        <v>10</v>
      </c>
      <c r="L4" s="637">
        <v>11</v>
      </c>
      <c r="M4" s="637">
        <v>12</v>
      </c>
      <c r="N4" s="637">
        <v>13</v>
      </c>
      <c r="O4" s="637">
        <v>14</v>
      </c>
      <c r="P4" s="637">
        <v>15</v>
      </c>
      <c r="Q4" s="637">
        <v>16</v>
      </c>
      <c r="R4" s="637">
        <v>17</v>
      </c>
      <c r="S4" s="637">
        <v>18</v>
      </c>
      <c r="T4" s="637">
        <v>19</v>
      </c>
      <c r="U4" s="637">
        <v>20</v>
      </c>
      <c r="V4" s="637">
        <v>21</v>
      </c>
      <c r="W4" s="637">
        <v>22</v>
      </c>
      <c r="X4" s="637">
        <v>23</v>
      </c>
      <c r="Y4" s="637">
        <v>24</v>
      </c>
      <c r="Z4" s="2183"/>
    </row>
    <row r="5" spans="1:27" s="1179" customFormat="1" ht="15" customHeight="1">
      <c r="A5" s="2274" t="s">
        <v>2179</v>
      </c>
      <c r="B5" s="2274"/>
      <c r="C5" s="2274"/>
      <c r="D5" s="1178"/>
      <c r="E5" s="1178"/>
      <c r="F5" s="1178"/>
      <c r="G5" s="1178"/>
      <c r="H5" s="1178"/>
      <c r="I5" s="1178"/>
      <c r="J5" s="1178"/>
      <c r="K5" s="1178"/>
      <c r="L5" s="1178"/>
      <c r="M5" s="1178"/>
      <c r="N5" s="1178"/>
      <c r="O5" s="1178"/>
      <c r="P5" s="1178"/>
      <c r="Q5" s="1178"/>
      <c r="R5" s="1178"/>
      <c r="S5" s="1178"/>
      <c r="T5" s="1178"/>
      <c r="U5" s="1178"/>
      <c r="V5" s="1178"/>
      <c r="W5" s="1178"/>
      <c r="X5" s="1178"/>
      <c r="Y5" s="1178"/>
      <c r="Z5" s="224"/>
    </row>
    <row r="6" spans="1:27" ht="15" customHeight="1">
      <c r="A6" s="413" t="s">
        <v>1231</v>
      </c>
      <c r="B6" s="309">
        <v>279505</v>
      </c>
      <c r="C6" s="309">
        <v>33052</v>
      </c>
      <c r="D6" s="309">
        <v>422387</v>
      </c>
      <c r="E6" s="309">
        <v>24555</v>
      </c>
      <c r="F6" s="309">
        <v>2103</v>
      </c>
      <c r="G6" s="309">
        <v>162843</v>
      </c>
      <c r="H6" s="309">
        <v>288510</v>
      </c>
      <c r="I6" s="309">
        <v>158030</v>
      </c>
      <c r="J6" s="309">
        <v>23886</v>
      </c>
      <c r="K6" s="309">
        <v>24833</v>
      </c>
      <c r="L6" s="309">
        <v>65072</v>
      </c>
      <c r="M6" s="309">
        <v>192509</v>
      </c>
      <c r="N6" s="309">
        <v>3906</v>
      </c>
      <c r="O6" s="309">
        <v>14244</v>
      </c>
      <c r="P6" s="309">
        <v>66730</v>
      </c>
      <c r="Q6" s="309">
        <v>54479</v>
      </c>
      <c r="R6" s="309">
        <v>54600</v>
      </c>
      <c r="S6" s="309">
        <v>3007</v>
      </c>
      <c r="T6" s="309">
        <v>113176</v>
      </c>
      <c r="U6" s="309">
        <f>SUM(B6:T6)</f>
        <v>1987427</v>
      </c>
      <c r="V6" s="309">
        <v>88394</v>
      </c>
      <c r="W6" s="309">
        <f>U6+V6</f>
        <v>2075821</v>
      </c>
      <c r="X6" s="309">
        <v>97254</v>
      </c>
      <c r="Y6" s="309">
        <f>W6+X6</f>
        <v>2173075</v>
      </c>
      <c r="Z6" s="370" t="s">
        <v>1231</v>
      </c>
    </row>
    <row r="7" spans="1:27" s="170" customFormat="1" ht="15" customHeight="1">
      <c r="A7" s="399"/>
      <c r="B7" s="1180">
        <f t="shared" ref="B7:W7" si="0">(B6/$W6)*100</f>
        <v>13.464792966252869</v>
      </c>
      <c r="C7" s="1180">
        <f t="shared" si="0"/>
        <v>1.592237480977406</v>
      </c>
      <c r="D7" s="1180">
        <f t="shared" si="0"/>
        <v>20.347949076534057</v>
      </c>
      <c r="E7" s="1180">
        <f t="shared" si="0"/>
        <v>1.1829054624652124</v>
      </c>
      <c r="F7" s="1180">
        <f t="shared" si="0"/>
        <v>0.10130931327893879</v>
      </c>
      <c r="G7" s="1180">
        <f t="shared" si="0"/>
        <v>7.8447515464965427</v>
      </c>
      <c r="H7" s="1180">
        <f t="shared" si="0"/>
        <v>13.898597229722601</v>
      </c>
      <c r="I7" s="1180">
        <f t="shared" si="0"/>
        <v>7.6128914776370404</v>
      </c>
      <c r="J7" s="1180">
        <f t="shared" si="0"/>
        <v>1.1506772501097158</v>
      </c>
      <c r="K7" s="1180">
        <f t="shared" si="0"/>
        <v>1.1962977539970931</v>
      </c>
      <c r="L7" s="1180">
        <f t="shared" si="0"/>
        <v>3.1347596926709964</v>
      </c>
      <c r="M7" s="1180">
        <f t="shared" si="0"/>
        <v>9.2738728435640638</v>
      </c>
      <c r="N7" s="1180">
        <f t="shared" si="0"/>
        <v>0.18816651339397761</v>
      </c>
      <c r="O7" s="1180">
        <f t="shared" si="0"/>
        <v>0.68618633302197063</v>
      </c>
      <c r="P7" s="1180">
        <f t="shared" si="0"/>
        <v>3.2146317047568167</v>
      </c>
      <c r="Q7" s="1180">
        <f t="shared" si="0"/>
        <v>2.6244555768536881</v>
      </c>
      <c r="R7" s="1180">
        <f>(R6/$W6)*100</f>
        <v>2.6302845958297945</v>
      </c>
      <c r="S7" s="1180">
        <f>(S6/$W6)*100</f>
        <v>0.14485834761282404</v>
      </c>
      <c r="T7" s="1180">
        <f t="shared" si="0"/>
        <v>5.4521078647918104</v>
      </c>
      <c r="U7" s="1180">
        <f t="shared" si="0"/>
        <v>95.741733029967421</v>
      </c>
      <c r="V7" s="1180">
        <f t="shared" si="0"/>
        <v>4.2582669700325804</v>
      </c>
      <c r="W7" s="1180">
        <f t="shared" si="0"/>
        <v>100</v>
      </c>
      <c r="X7" s="267"/>
      <c r="Y7" s="267"/>
      <c r="Z7" s="394"/>
    </row>
    <row r="8" spans="1:27" ht="15" customHeight="1">
      <c r="A8" s="413" t="s">
        <v>1263</v>
      </c>
      <c r="B8" s="309">
        <v>301167</v>
      </c>
      <c r="C8" s="309">
        <v>39984</v>
      </c>
      <c r="D8" s="309">
        <v>466606</v>
      </c>
      <c r="E8" s="309">
        <v>29234</v>
      </c>
      <c r="F8" s="309">
        <v>2263</v>
      </c>
      <c r="G8" s="309">
        <v>188219</v>
      </c>
      <c r="H8" s="309">
        <v>324632</v>
      </c>
      <c r="I8" s="309">
        <v>178722</v>
      </c>
      <c r="J8" s="309">
        <v>26670</v>
      </c>
      <c r="K8" s="309">
        <v>27264</v>
      </c>
      <c r="L8" s="309">
        <v>72247</v>
      </c>
      <c r="M8" s="309">
        <v>214151</v>
      </c>
      <c r="N8" s="309">
        <v>4282</v>
      </c>
      <c r="O8" s="309">
        <v>15722</v>
      </c>
      <c r="P8" s="309">
        <v>78463</v>
      </c>
      <c r="Q8" s="309">
        <v>60858</v>
      </c>
      <c r="R8" s="309">
        <v>63515</v>
      </c>
      <c r="S8" s="309">
        <v>3365</v>
      </c>
      <c r="T8" s="309">
        <v>124429</v>
      </c>
      <c r="U8" s="309">
        <f>SUM(B8:T8)</f>
        <v>2221793</v>
      </c>
      <c r="V8" s="309">
        <v>102514</v>
      </c>
      <c r="W8" s="309">
        <f>U8+V8</f>
        <v>2324307</v>
      </c>
      <c r="X8" s="309">
        <v>80250</v>
      </c>
      <c r="Y8" s="309">
        <f>W8+X8</f>
        <v>2404557</v>
      </c>
      <c r="Z8" s="370" t="s">
        <v>1263</v>
      </c>
    </row>
    <row r="9" spans="1:27" s="170" customFormat="1" ht="15" customHeight="1">
      <c r="A9" s="399"/>
      <c r="B9" s="1180">
        <f t="shared" ref="B9:W9" si="1">(B8/$W8)*100</f>
        <v>12.95728146066763</v>
      </c>
      <c r="C9" s="1180">
        <f t="shared" si="1"/>
        <v>1.7202546823633882</v>
      </c>
      <c r="D9" s="1180">
        <f t="shared" si="1"/>
        <v>20.075058931543897</v>
      </c>
      <c r="E9" s="1180">
        <f t="shared" si="1"/>
        <v>1.2577512350993221</v>
      </c>
      <c r="F9" s="1180">
        <f t="shared" si="1"/>
        <v>9.7362353596147158E-2</v>
      </c>
      <c r="G9" s="1180">
        <f t="shared" si="1"/>
        <v>8.0978545433111897</v>
      </c>
      <c r="H9" s="1180">
        <f t="shared" si="1"/>
        <v>13.966829682997986</v>
      </c>
      <c r="I9" s="1180">
        <f t="shared" si="1"/>
        <v>7.6892596373886928</v>
      </c>
      <c r="J9" s="1180">
        <f t="shared" si="1"/>
        <v>1.1474387849797811</v>
      </c>
      <c r="K9" s="1180">
        <f t="shared" si="1"/>
        <v>1.1729947894146513</v>
      </c>
      <c r="L9" s="1180">
        <f t="shared" si="1"/>
        <v>3.1083243306499528</v>
      </c>
      <c r="M9" s="1180">
        <f t="shared" si="1"/>
        <v>9.2135419288415861</v>
      </c>
      <c r="N9" s="1180">
        <f t="shared" si="1"/>
        <v>0.18422695452881224</v>
      </c>
      <c r="O9" s="1180">
        <f t="shared" si="1"/>
        <v>0.67641666957075808</v>
      </c>
      <c r="P9" s="1180">
        <f t="shared" si="1"/>
        <v>3.3757588821098077</v>
      </c>
      <c r="Q9" s="1180">
        <f t="shared" si="1"/>
        <v>2.6183288180089805</v>
      </c>
      <c r="R9" s="1180">
        <f t="shared" si="1"/>
        <v>2.7326424607420621</v>
      </c>
      <c r="S9" s="1180">
        <f t="shared" si="1"/>
        <v>0.14477433488777516</v>
      </c>
      <c r="T9" s="1180">
        <f t="shared" si="1"/>
        <v>5.3533805990344652</v>
      </c>
      <c r="U9" s="1180">
        <f t="shared" si="1"/>
        <v>95.589481079736885</v>
      </c>
      <c r="V9" s="1180">
        <f t="shared" si="1"/>
        <v>4.4105189202631152</v>
      </c>
      <c r="W9" s="1180">
        <f t="shared" si="1"/>
        <v>100</v>
      </c>
      <c r="X9" s="267"/>
      <c r="Y9" s="267"/>
      <c r="Z9" s="394"/>
    </row>
    <row r="10" spans="1:27" ht="15" customHeight="1">
      <c r="A10" s="413" t="s">
        <v>1392</v>
      </c>
      <c r="B10" s="309">
        <v>329380</v>
      </c>
      <c r="C10" s="309">
        <v>44276</v>
      </c>
      <c r="D10" s="309">
        <v>549024</v>
      </c>
      <c r="E10" s="309">
        <v>32625</v>
      </c>
      <c r="F10" s="309">
        <v>2487</v>
      </c>
      <c r="G10" s="309">
        <v>215693</v>
      </c>
      <c r="H10" s="309">
        <v>373716</v>
      </c>
      <c r="I10" s="311">
        <v>197806</v>
      </c>
      <c r="J10" s="309">
        <v>30106</v>
      </c>
      <c r="K10" s="309">
        <v>29460</v>
      </c>
      <c r="L10" s="309">
        <v>81724</v>
      </c>
      <c r="M10" s="309">
        <v>235990</v>
      </c>
      <c r="N10" s="309">
        <v>4714</v>
      </c>
      <c r="O10" s="309">
        <v>17269</v>
      </c>
      <c r="P10" s="309">
        <v>90249</v>
      </c>
      <c r="Q10" s="309">
        <v>68164</v>
      </c>
      <c r="R10" s="309">
        <v>73365</v>
      </c>
      <c r="S10" s="309">
        <v>3772</v>
      </c>
      <c r="T10" s="309">
        <v>136783</v>
      </c>
      <c r="U10" s="309">
        <f>SUM(B10:T10)</f>
        <v>2516603</v>
      </c>
      <c r="V10" s="309">
        <v>122645</v>
      </c>
      <c r="W10" s="309">
        <f>U10+V10</f>
        <v>2639248</v>
      </c>
      <c r="X10" s="309">
        <v>105543</v>
      </c>
      <c r="Y10" s="309">
        <f>W10+X10</f>
        <v>2744791</v>
      </c>
      <c r="Z10" s="370" t="s">
        <v>1392</v>
      </c>
    </row>
    <row r="11" spans="1:27" s="170" customFormat="1" ht="15" customHeight="1">
      <c r="A11" s="399"/>
      <c r="B11" s="1180">
        <f t="shared" ref="B11:W11" si="2">(B10/$W10)*100</f>
        <v>12.480070080568405</v>
      </c>
      <c r="C11" s="1180">
        <f t="shared" si="2"/>
        <v>1.6775990736755317</v>
      </c>
      <c r="D11" s="1180">
        <f t="shared" si="2"/>
        <v>20.802289136905664</v>
      </c>
      <c r="E11" s="1180">
        <f t="shared" si="2"/>
        <v>1.2361475693076209</v>
      </c>
      <c r="F11" s="1180">
        <f t="shared" si="2"/>
        <v>9.4231387122392429E-2</v>
      </c>
      <c r="G11" s="1180">
        <f t="shared" si="2"/>
        <v>8.1725173231162813</v>
      </c>
      <c r="H11" s="1180">
        <f t="shared" si="2"/>
        <v>14.159942529084041</v>
      </c>
      <c r="I11" s="1180">
        <f t="shared" si="2"/>
        <v>7.4947863937000232</v>
      </c>
      <c r="J11" s="1180">
        <f t="shared" si="2"/>
        <v>1.1407037156038387</v>
      </c>
      <c r="K11" s="1180">
        <f t="shared" si="2"/>
        <v>1.116227046492031</v>
      </c>
      <c r="L11" s="1180">
        <f t="shared" si="2"/>
        <v>3.0964880905470045</v>
      </c>
      <c r="M11" s="1180">
        <f t="shared" si="2"/>
        <v>8.9415621419434625</v>
      </c>
      <c r="N11" s="1180">
        <f t="shared" si="2"/>
        <v>0.17861148327099235</v>
      </c>
      <c r="O11" s="1180">
        <f t="shared" si="2"/>
        <v>0.65431516856316652</v>
      </c>
      <c r="P11" s="1180">
        <f t="shared" si="2"/>
        <v>3.4194967657453939</v>
      </c>
      <c r="Q11" s="1180">
        <f t="shared" si="2"/>
        <v>2.5827053766830552</v>
      </c>
      <c r="R11" s="1180">
        <f t="shared" si="2"/>
        <v>2.7797690857395745</v>
      </c>
      <c r="S11" s="1180">
        <f t="shared" si="2"/>
        <v>0.14291949828132863</v>
      </c>
      <c r="T11" s="1180">
        <f t="shared" si="2"/>
        <v>5.1826505125702473</v>
      </c>
      <c r="U11" s="1180">
        <f t="shared" si="2"/>
        <v>95.353032378920062</v>
      </c>
      <c r="V11" s="1180">
        <f t="shared" si="2"/>
        <v>4.646967621079944</v>
      </c>
      <c r="W11" s="1180">
        <f t="shared" si="2"/>
        <v>100</v>
      </c>
      <c r="X11" s="267"/>
      <c r="Y11" s="267"/>
      <c r="Z11" s="394"/>
    </row>
    <row r="12" spans="1:27" ht="15" customHeight="1">
      <c r="A12" s="413" t="s">
        <v>1511</v>
      </c>
      <c r="B12" s="309">
        <v>353443</v>
      </c>
      <c r="C12" s="309">
        <v>52609</v>
      </c>
      <c r="D12" s="309">
        <v>625937</v>
      </c>
      <c r="E12" s="309">
        <v>38144</v>
      </c>
      <c r="F12" s="309">
        <v>2674</v>
      </c>
      <c r="G12" s="309">
        <v>250255</v>
      </c>
      <c r="H12" s="309">
        <v>418395</v>
      </c>
      <c r="I12" s="309">
        <v>219712</v>
      </c>
      <c r="J12" s="311">
        <v>33550</v>
      </c>
      <c r="K12" s="309">
        <v>32204</v>
      </c>
      <c r="L12" s="309">
        <v>93297</v>
      </c>
      <c r="M12" s="309">
        <v>260715</v>
      </c>
      <c r="N12" s="309">
        <v>5179</v>
      </c>
      <c r="O12" s="309">
        <v>20017</v>
      </c>
      <c r="P12" s="309">
        <v>99006</v>
      </c>
      <c r="Q12" s="309">
        <v>76961</v>
      </c>
      <c r="R12" s="309">
        <v>86811</v>
      </c>
      <c r="S12" s="309">
        <v>4244</v>
      </c>
      <c r="T12" s="309">
        <v>150690</v>
      </c>
      <c r="U12" s="309">
        <f>SUM(B12:T12)</f>
        <v>2823843</v>
      </c>
      <c r="V12" s="309">
        <v>127586</v>
      </c>
      <c r="W12" s="309">
        <f>U12+V12</f>
        <v>2951429</v>
      </c>
      <c r="X12" s="309">
        <v>120895</v>
      </c>
      <c r="Y12" s="309">
        <f>W12+X12</f>
        <v>3072324</v>
      </c>
      <c r="Z12" s="370" t="s">
        <v>1511</v>
      </c>
    </row>
    <row r="13" spans="1:27" s="170" customFormat="1" ht="15" customHeight="1">
      <c r="A13" s="399"/>
      <c r="B13" s="1180">
        <f t="shared" ref="B13:W13" si="3">(B12/$W12)*100</f>
        <v>11.975317718976129</v>
      </c>
      <c r="C13" s="1180">
        <f t="shared" si="3"/>
        <v>1.7824924807610145</v>
      </c>
      <c r="D13" s="1180">
        <f t="shared" si="3"/>
        <v>21.20793012469553</v>
      </c>
      <c r="E13" s="1180">
        <f t="shared" si="3"/>
        <v>1.2923909062355896</v>
      </c>
      <c r="F13" s="1180">
        <f t="shared" si="3"/>
        <v>9.0600180454959281E-2</v>
      </c>
      <c r="G13" s="1180">
        <f t="shared" si="3"/>
        <v>8.4791129991607459</v>
      </c>
      <c r="H13" s="1180">
        <f t="shared" si="3"/>
        <v>14.176014398449022</v>
      </c>
      <c r="I13" s="1180">
        <f t="shared" si="3"/>
        <v>7.4442583575617105</v>
      </c>
      <c r="J13" s="1180">
        <f t="shared" si="3"/>
        <v>1.1367374922452818</v>
      </c>
      <c r="K13" s="1180">
        <f t="shared" si="3"/>
        <v>1.0911324649856053</v>
      </c>
      <c r="L13" s="1180">
        <f t="shared" si="3"/>
        <v>3.1610789214309412</v>
      </c>
      <c r="M13" s="1180">
        <f t="shared" si="3"/>
        <v>8.8335175943585291</v>
      </c>
      <c r="N13" s="1180">
        <f t="shared" si="3"/>
        <v>0.17547432108310923</v>
      </c>
      <c r="O13" s="1180">
        <f t="shared" si="3"/>
        <v>0.67821384149847408</v>
      </c>
      <c r="P13" s="1180">
        <f t="shared" si="3"/>
        <v>3.3545106455212035</v>
      </c>
      <c r="Q13" s="1180">
        <f t="shared" si="3"/>
        <v>2.6075843261010179</v>
      </c>
      <c r="R13" s="1180">
        <f t="shared" si="3"/>
        <v>2.9413209668943416</v>
      </c>
      <c r="S13" s="1180">
        <f t="shared" si="3"/>
        <v>0.14379475162709318</v>
      </c>
      <c r="T13" s="1180">
        <f t="shared" si="3"/>
        <v>5.1056623757508648</v>
      </c>
      <c r="U13" s="1180">
        <f t="shared" si="3"/>
        <v>95.677144867791171</v>
      </c>
      <c r="V13" s="1180">
        <f t="shared" si="3"/>
        <v>4.3228551322088391</v>
      </c>
      <c r="W13" s="1180">
        <f t="shared" si="3"/>
        <v>100</v>
      </c>
      <c r="X13" s="267"/>
      <c r="Y13" s="267"/>
      <c r="Z13" s="394"/>
    </row>
    <row r="14" spans="1:27" ht="15" customHeight="1">
      <c r="A14" s="413" t="s">
        <v>1602</v>
      </c>
      <c r="B14" s="309">
        <v>380446</v>
      </c>
      <c r="C14" s="309">
        <v>55224</v>
      </c>
      <c r="D14" s="309">
        <v>653064</v>
      </c>
      <c r="E14" s="309">
        <v>44523</v>
      </c>
      <c r="F14" s="309">
        <v>2761</v>
      </c>
      <c r="G14" s="309">
        <v>287880</v>
      </c>
      <c r="H14" s="309">
        <v>445757</v>
      </c>
      <c r="I14" s="309">
        <v>232252</v>
      </c>
      <c r="J14" s="309">
        <v>36015</v>
      </c>
      <c r="K14" s="309">
        <v>35107</v>
      </c>
      <c r="L14" s="309">
        <v>103217</v>
      </c>
      <c r="M14" s="309">
        <v>288001</v>
      </c>
      <c r="N14" s="309">
        <v>5656</v>
      </c>
      <c r="O14" s="309">
        <v>23005</v>
      </c>
      <c r="P14" s="309">
        <v>106965</v>
      </c>
      <c r="Q14" s="309">
        <v>85643</v>
      </c>
      <c r="R14" s="309">
        <v>101522</v>
      </c>
      <c r="S14" s="309">
        <v>4761</v>
      </c>
      <c r="T14" s="309">
        <v>165249</v>
      </c>
      <c r="U14" s="309">
        <f>SUM(B14:T14)</f>
        <v>3057048</v>
      </c>
      <c r="V14" s="309">
        <v>113421</v>
      </c>
      <c r="W14" s="309">
        <f>U14+V14</f>
        <v>3170469</v>
      </c>
      <c r="X14" s="309">
        <v>131232</v>
      </c>
      <c r="Y14" s="309">
        <f>W14+X14</f>
        <v>3301701</v>
      </c>
      <c r="Z14" s="370" t="s">
        <v>1602</v>
      </c>
    </row>
    <row r="15" spans="1:27" s="170" customFormat="1" ht="15" customHeight="1">
      <c r="A15" s="399"/>
      <c r="B15" s="1180">
        <f t="shared" ref="B15:W15" si="4">(B14/$W14)*100</f>
        <v>11.999675757750667</v>
      </c>
      <c r="C15" s="1180">
        <f t="shared" si="4"/>
        <v>1.7418243168439749</v>
      </c>
      <c r="D15" s="1180">
        <f t="shared" si="4"/>
        <v>20.598340497888483</v>
      </c>
      <c r="E15" s="1180">
        <f t="shared" si="4"/>
        <v>1.4043032750044238</v>
      </c>
      <c r="F15" s="1180">
        <f t="shared" si="4"/>
        <v>8.7084907627231173E-2</v>
      </c>
      <c r="G15" s="1180">
        <f t="shared" si="4"/>
        <v>9.0800446243126807</v>
      </c>
      <c r="H15" s="1180">
        <f t="shared" si="4"/>
        <v>14.059654896483769</v>
      </c>
      <c r="I15" s="1180">
        <f t="shared" si="4"/>
        <v>7.3254777132342257</v>
      </c>
      <c r="J15" s="1180">
        <f t="shared" si="4"/>
        <v>1.1359518102842197</v>
      </c>
      <c r="K15" s="1180">
        <f t="shared" si="4"/>
        <v>1.1073125143314759</v>
      </c>
      <c r="L15" s="1180">
        <f t="shared" si="4"/>
        <v>3.2555751215356468</v>
      </c>
      <c r="M15" s="1180">
        <f t="shared" si="4"/>
        <v>9.0838610943680571</v>
      </c>
      <c r="N15" s="1180">
        <f t="shared" si="4"/>
        <v>0.17839631928273073</v>
      </c>
      <c r="O15" s="1180">
        <f t="shared" si="4"/>
        <v>0.72560242664413377</v>
      </c>
      <c r="P15" s="1180">
        <f t="shared" si="4"/>
        <v>3.3737910700278095</v>
      </c>
      <c r="Q15" s="1180">
        <f t="shared" si="4"/>
        <v>2.701272272335733</v>
      </c>
      <c r="R15" s="1180">
        <f t="shared" si="4"/>
        <v>3.2021129996855358</v>
      </c>
      <c r="S15" s="1180">
        <f t="shared" si="4"/>
        <v>0.15016705730287852</v>
      </c>
      <c r="T15" s="1180">
        <f t="shared" si="4"/>
        <v>5.2121310758755248</v>
      </c>
      <c r="U15" s="1180">
        <f t="shared" si="4"/>
        <v>96.42257975081921</v>
      </c>
      <c r="V15" s="1180">
        <f t="shared" si="4"/>
        <v>3.5774202491807996</v>
      </c>
      <c r="W15" s="1180">
        <f t="shared" si="4"/>
        <v>100</v>
      </c>
      <c r="X15" s="267"/>
      <c r="Y15" s="267"/>
      <c r="Z15" s="394"/>
    </row>
    <row r="16" spans="1:27" ht="15" customHeight="1">
      <c r="A16" s="413" t="s">
        <v>1668</v>
      </c>
      <c r="B16" s="311">
        <v>410661</v>
      </c>
      <c r="C16" s="311">
        <v>59102</v>
      </c>
      <c r="D16" s="311">
        <v>749659</v>
      </c>
      <c r="E16" s="311">
        <v>44902</v>
      </c>
      <c r="F16" s="311">
        <v>2968</v>
      </c>
      <c r="G16" s="311">
        <v>319490</v>
      </c>
      <c r="H16" s="311">
        <v>497652</v>
      </c>
      <c r="I16" s="311">
        <v>256215</v>
      </c>
      <c r="J16" s="311">
        <v>39857</v>
      </c>
      <c r="K16" s="311">
        <v>38448</v>
      </c>
      <c r="L16" s="311">
        <v>115271</v>
      </c>
      <c r="M16" s="311">
        <v>313028</v>
      </c>
      <c r="N16" s="311">
        <v>6273</v>
      </c>
      <c r="O16" s="311">
        <v>27138</v>
      </c>
      <c r="P16" s="311">
        <v>116996</v>
      </c>
      <c r="Q16" s="311">
        <v>95642</v>
      </c>
      <c r="R16" s="311">
        <v>118500</v>
      </c>
      <c r="S16" s="311">
        <v>5341</v>
      </c>
      <c r="T16" s="311">
        <v>180676</v>
      </c>
      <c r="U16" s="309">
        <f>SUM(B16:T16)</f>
        <v>3397819</v>
      </c>
      <c r="V16" s="311">
        <v>132366</v>
      </c>
      <c r="W16" s="309">
        <f>U16+V16</f>
        <v>3530185</v>
      </c>
      <c r="X16" s="311">
        <v>185812</v>
      </c>
      <c r="Y16" s="309">
        <f>W16+X16</f>
        <v>3715997</v>
      </c>
      <c r="Z16" s="370" t="s">
        <v>1668</v>
      </c>
    </row>
    <row r="17" spans="1:27" s="170" customFormat="1" ht="15" customHeight="1">
      <c r="A17" s="399"/>
      <c r="B17" s="1180">
        <f t="shared" ref="B17:W19" si="5">(B16/$W16)*100</f>
        <v>11.632846437226378</v>
      </c>
      <c r="C17" s="1180">
        <f t="shared" si="5"/>
        <v>1.6741898795672183</v>
      </c>
      <c r="D17" s="1180">
        <f t="shared" si="5"/>
        <v>21.235685948470124</v>
      </c>
      <c r="E17" s="1180">
        <f t="shared" si="5"/>
        <v>1.2719446714548954</v>
      </c>
      <c r="F17" s="1180">
        <f t="shared" si="5"/>
        <v>8.4074913920941824E-2</v>
      </c>
      <c r="G17" s="1180">
        <f t="shared" si="5"/>
        <v>9.0502339112539421</v>
      </c>
      <c r="H17" s="1180">
        <f t="shared" si="5"/>
        <v>14.097051570951663</v>
      </c>
      <c r="I17" s="1180">
        <f t="shared" si="5"/>
        <v>7.2578349293308992</v>
      </c>
      <c r="J17" s="1180">
        <f t="shared" si="5"/>
        <v>1.1290343140656933</v>
      </c>
      <c r="K17" s="1180">
        <f t="shared" si="5"/>
        <v>1.0891213916551115</v>
      </c>
      <c r="L17" s="1180">
        <f t="shared" si="5"/>
        <v>3.2652962946701094</v>
      </c>
      <c r="M17" s="1180">
        <f t="shared" si="5"/>
        <v>8.8671840144355052</v>
      </c>
      <c r="N17" s="1180">
        <f t="shared" si="5"/>
        <v>0.17769606975271834</v>
      </c>
      <c r="O17" s="1180">
        <f t="shared" si="5"/>
        <v>0.76874158153184602</v>
      </c>
      <c r="P17" s="1180">
        <f t="shared" si="5"/>
        <v>3.3141605893175572</v>
      </c>
      <c r="Q17" s="1180">
        <f t="shared" si="5"/>
        <v>2.709263112273153</v>
      </c>
      <c r="R17" s="1180">
        <f t="shared" si="5"/>
        <v>3.3567645888246651</v>
      </c>
      <c r="S17" s="1180">
        <f t="shared" si="5"/>
        <v>0.15129518707943068</v>
      </c>
      <c r="T17" s="1180">
        <f t="shared" si="5"/>
        <v>5.1180320578100016</v>
      </c>
      <c r="U17" s="1180">
        <f t="shared" si="5"/>
        <v>96.250451463591844</v>
      </c>
      <c r="V17" s="1180">
        <f t="shared" si="5"/>
        <v>3.7495485364081489</v>
      </c>
      <c r="W17" s="1180">
        <f t="shared" si="5"/>
        <v>100</v>
      </c>
      <c r="X17" s="267"/>
      <c r="Y17" s="267"/>
      <c r="Z17" s="394"/>
    </row>
    <row r="18" spans="1:27" s="170" customFormat="1" ht="15" customHeight="1">
      <c r="A18" s="413" t="s">
        <v>2018</v>
      </c>
      <c r="B18" s="311">
        <v>445531</v>
      </c>
      <c r="C18" s="311">
        <v>58916</v>
      </c>
      <c r="D18" s="311">
        <v>864437</v>
      </c>
      <c r="E18" s="311">
        <v>50414</v>
      </c>
      <c r="F18" s="311">
        <v>3809</v>
      </c>
      <c r="G18" s="311">
        <v>369633</v>
      </c>
      <c r="H18" s="311">
        <v>567097</v>
      </c>
      <c r="I18" s="311">
        <v>285272</v>
      </c>
      <c r="J18" s="311">
        <v>44452</v>
      </c>
      <c r="K18" s="311">
        <v>41422</v>
      </c>
      <c r="L18" s="311">
        <v>129539</v>
      </c>
      <c r="M18" s="311">
        <v>340182</v>
      </c>
      <c r="N18" s="311">
        <v>6942</v>
      </c>
      <c r="O18" s="311">
        <v>31136</v>
      </c>
      <c r="P18" s="311">
        <v>127366</v>
      </c>
      <c r="Q18" s="311">
        <v>109514</v>
      </c>
      <c r="R18" s="311">
        <v>138207</v>
      </c>
      <c r="S18" s="311">
        <v>6074</v>
      </c>
      <c r="T18" s="311">
        <v>199886</v>
      </c>
      <c r="U18" s="309">
        <f>SUM(B18:T18)</f>
        <v>3819829</v>
      </c>
      <c r="V18" s="309">
        <v>151887</v>
      </c>
      <c r="W18" s="309">
        <f>U18+V18</f>
        <v>3971716</v>
      </c>
      <c r="X18" s="309">
        <v>157346</v>
      </c>
      <c r="Y18" s="309">
        <f>W18+X18</f>
        <v>4129062</v>
      </c>
      <c r="Z18" s="370" t="s">
        <v>2018</v>
      </c>
    </row>
    <row r="19" spans="1:27" s="170" customFormat="1" ht="15" customHeight="1">
      <c r="A19" s="399"/>
      <c r="B19" s="1180">
        <f>(B18/$W18)*100</f>
        <v>11.217594611497901</v>
      </c>
      <c r="C19" s="1180">
        <f t="shared" si="5"/>
        <v>1.4833890439296262</v>
      </c>
      <c r="D19" s="1180">
        <f t="shared" si="5"/>
        <v>21.764824071006082</v>
      </c>
      <c r="E19" s="1180">
        <f t="shared" si="5"/>
        <v>1.2693253999027121</v>
      </c>
      <c r="F19" s="1180">
        <f t="shared" si="5"/>
        <v>9.5903131039580869E-2</v>
      </c>
      <c r="G19" s="1180">
        <f t="shared" si="5"/>
        <v>9.306632196259752</v>
      </c>
      <c r="H19" s="1180">
        <f t="shared" si="5"/>
        <v>14.278387477855919</v>
      </c>
      <c r="I19" s="1180">
        <f t="shared" si="5"/>
        <v>7.1825880803159148</v>
      </c>
      <c r="J19" s="1180">
        <f t="shared" si="5"/>
        <v>1.1192139619247701</v>
      </c>
      <c r="K19" s="1180">
        <f t="shared" si="5"/>
        <v>1.0429245192757992</v>
      </c>
      <c r="L19" s="1180">
        <f t="shared" si="5"/>
        <v>3.261537330463709</v>
      </c>
      <c r="M19" s="1180">
        <f t="shared" si="5"/>
        <v>8.565113920532081</v>
      </c>
      <c r="N19" s="1180">
        <f t="shared" si="5"/>
        <v>0.17478591117793921</v>
      </c>
      <c r="O19" s="1180">
        <f t="shared" si="5"/>
        <v>0.78394326281133897</v>
      </c>
      <c r="P19" s="1180">
        <f t="shared" si="5"/>
        <v>3.2068254628477968</v>
      </c>
      <c r="Q19" s="1180">
        <f t="shared" si="5"/>
        <v>2.7573472020658074</v>
      </c>
      <c r="R19" s="1180">
        <f t="shared" si="5"/>
        <v>3.4797805281142966</v>
      </c>
      <c r="S19" s="1180">
        <f t="shared" si="5"/>
        <v>0.15293137777222743</v>
      </c>
      <c r="T19" s="1180">
        <f t="shared" si="5"/>
        <v>5.0327364796475882</v>
      </c>
      <c r="U19" s="1180">
        <f t="shared" si="5"/>
        <v>96.17578396844084</v>
      </c>
      <c r="V19" s="1180">
        <f t="shared" si="5"/>
        <v>3.8242160315591551</v>
      </c>
      <c r="W19" s="1180">
        <f>(W18/$W18)*100</f>
        <v>100</v>
      </c>
      <c r="X19" s="267"/>
      <c r="Y19" s="267"/>
      <c r="Z19" s="394"/>
    </row>
    <row r="20" spans="1:27" s="170" customFormat="1" ht="15" customHeight="1">
      <c r="A20" s="413" t="s">
        <v>2299</v>
      </c>
      <c r="B20" s="311">
        <v>494158</v>
      </c>
      <c r="C20" s="311">
        <v>70244</v>
      </c>
      <c r="D20" s="311">
        <v>1003345</v>
      </c>
      <c r="E20" s="311">
        <v>55295</v>
      </c>
      <c r="F20" s="311">
        <v>4380</v>
      </c>
      <c r="G20" s="311">
        <v>420310</v>
      </c>
      <c r="H20" s="311">
        <v>647367</v>
      </c>
      <c r="I20" s="311">
        <v>324082</v>
      </c>
      <c r="J20" s="311">
        <v>51156</v>
      </c>
      <c r="K20" s="311">
        <v>47326</v>
      </c>
      <c r="L20" s="311">
        <v>144785</v>
      </c>
      <c r="M20" s="311">
        <v>373414</v>
      </c>
      <c r="N20" s="311">
        <v>8423</v>
      </c>
      <c r="O20" s="311">
        <v>37504</v>
      </c>
      <c r="P20" s="311">
        <v>147281</v>
      </c>
      <c r="Q20" s="311">
        <v>125974</v>
      </c>
      <c r="R20" s="311">
        <v>161533</v>
      </c>
      <c r="S20" s="311">
        <v>6912</v>
      </c>
      <c r="T20" s="311">
        <v>219599</v>
      </c>
      <c r="U20" s="311">
        <f>SUM(B20:T20)</f>
        <v>4343088</v>
      </c>
      <c r="V20" s="311">
        <v>147754</v>
      </c>
      <c r="W20" s="311">
        <f>U20+V20</f>
        <v>4490842</v>
      </c>
      <c r="X20" s="311">
        <v>179238</v>
      </c>
      <c r="Y20" s="311">
        <f>W20+X20</f>
        <v>4670080</v>
      </c>
      <c r="Z20" s="370" t="s">
        <v>2299</v>
      </c>
    </row>
    <row r="21" spans="1:27" s="170" customFormat="1" ht="15" customHeight="1">
      <c r="A21" s="399"/>
      <c r="B21" s="1180">
        <f>(B20/$W20)*100</f>
        <v>11.003682605622732</v>
      </c>
      <c r="C21" s="1180">
        <f t="shared" ref="C21:W21" si="6">(C20/$W20)*100</f>
        <v>1.5641610192476154</v>
      </c>
      <c r="D21" s="1180">
        <f t="shared" si="6"/>
        <v>22.342024056958586</v>
      </c>
      <c r="E21" s="1180">
        <f t="shared" si="6"/>
        <v>1.2312835766655785</v>
      </c>
      <c r="F21" s="1180">
        <f t="shared" si="6"/>
        <v>9.7531821426805929E-2</v>
      </c>
      <c r="G21" s="1180">
        <f t="shared" si="6"/>
        <v>9.3592693753198173</v>
      </c>
      <c r="H21" s="1180">
        <f t="shared" si="6"/>
        <v>14.415270009499331</v>
      </c>
      <c r="I21" s="1180">
        <f t="shared" si="6"/>
        <v>7.2165086190963752</v>
      </c>
      <c r="J21" s="1180">
        <f t="shared" si="6"/>
        <v>1.1391182321711608</v>
      </c>
      <c r="K21" s="1180">
        <f t="shared" si="6"/>
        <v>1.0538335572705519</v>
      </c>
      <c r="L21" s="1180">
        <f t="shared" si="6"/>
        <v>3.224005654173538</v>
      </c>
      <c r="M21" s="1180">
        <f t="shared" si="6"/>
        <v>8.3150108598788375</v>
      </c>
      <c r="N21" s="1180">
        <f t="shared" si="6"/>
        <v>0.18755948216392382</v>
      </c>
      <c r="O21" s="1180">
        <f t="shared" si="6"/>
        <v>0.83512178785181046</v>
      </c>
      <c r="P21" s="1180">
        <f t="shared" si="6"/>
        <v>3.279585431863334</v>
      </c>
      <c r="Q21" s="1180">
        <f t="shared" si="6"/>
        <v>2.805130975438459</v>
      </c>
      <c r="R21" s="1180">
        <f t="shared" si="6"/>
        <v>3.5969423996658092</v>
      </c>
      <c r="S21" s="1180">
        <f t="shared" si="6"/>
        <v>0.15391323052558964</v>
      </c>
      <c r="T21" s="1180">
        <f t="shared" si="6"/>
        <v>4.8899293272842819</v>
      </c>
      <c r="U21" s="1180">
        <f t="shared" si="6"/>
        <v>96.709882022124134</v>
      </c>
      <c r="V21" s="1180">
        <f t="shared" si="6"/>
        <v>3.2901179778758638</v>
      </c>
      <c r="W21" s="1180">
        <f t="shared" si="6"/>
        <v>100</v>
      </c>
      <c r="X21" s="267"/>
      <c r="Y21" s="267"/>
      <c r="Z21" s="394"/>
      <c r="AA21" s="861"/>
    </row>
    <row r="22" spans="1:27" ht="15" customHeight="1">
      <c r="A22" s="1815" t="s">
        <v>2180</v>
      </c>
      <c r="B22" s="636"/>
      <c r="C22" s="636"/>
      <c r="D22" s="636"/>
      <c r="E22" s="636"/>
      <c r="F22" s="636"/>
      <c r="G22" s="636"/>
      <c r="H22" s="636"/>
      <c r="I22" s="636"/>
      <c r="J22" s="636"/>
      <c r="K22" s="636"/>
      <c r="L22" s="636"/>
      <c r="M22" s="636"/>
      <c r="N22" s="636"/>
      <c r="O22" s="636"/>
      <c r="P22" s="636"/>
      <c r="Q22" s="636"/>
      <c r="R22" s="636"/>
      <c r="S22" s="636"/>
      <c r="T22" s="636"/>
      <c r="U22" s="636"/>
      <c r="V22" s="636"/>
      <c r="W22" s="636"/>
      <c r="X22" s="309"/>
      <c r="Y22" s="309"/>
      <c r="Z22" s="370"/>
    </row>
    <row r="23" spans="1:27" s="170" customFormat="1" ht="15" customHeight="1">
      <c r="A23" s="399" t="s">
        <v>1231</v>
      </c>
      <c r="B23" s="267">
        <v>279505</v>
      </c>
      <c r="C23" s="267">
        <v>33052</v>
      </c>
      <c r="D23" s="267">
        <v>422387</v>
      </c>
      <c r="E23" s="267">
        <v>24555</v>
      </c>
      <c r="F23" s="267">
        <v>2103</v>
      </c>
      <c r="G23" s="267">
        <v>162843</v>
      </c>
      <c r="H23" s="267">
        <v>288510</v>
      </c>
      <c r="I23" s="267">
        <v>158030</v>
      </c>
      <c r="J23" s="267">
        <v>23886</v>
      </c>
      <c r="K23" s="267">
        <v>24833</v>
      </c>
      <c r="L23" s="267">
        <v>65072</v>
      </c>
      <c r="M23" s="267">
        <v>192509</v>
      </c>
      <c r="N23" s="267">
        <v>3906</v>
      </c>
      <c r="O23" s="267">
        <v>14244</v>
      </c>
      <c r="P23" s="267">
        <v>66730</v>
      </c>
      <c r="Q23" s="267">
        <v>54479</v>
      </c>
      <c r="R23" s="267">
        <v>54600</v>
      </c>
      <c r="S23" s="267">
        <v>3007</v>
      </c>
      <c r="T23" s="267">
        <v>113176</v>
      </c>
      <c r="U23" s="267">
        <f>SUM(B23:T23)</f>
        <v>1987427</v>
      </c>
      <c r="V23" s="267">
        <v>88394</v>
      </c>
      <c r="W23" s="267">
        <f>U23+V23</f>
        <v>2075821</v>
      </c>
      <c r="X23" s="267">
        <v>97254</v>
      </c>
      <c r="Y23" s="267">
        <f>W23+X23</f>
        <v>2173075</v>
      </c>
      <c r="Z23" s="394" t="s">
        <v>1231</v>
      </c>
    </row>
    <row r="24" spans="1:27" ht="15" customHeight="1">
      <c r="A24" s="413"/>
      <c r="B24" s="636">
        <f t="shared" ref="B24:W24" si="7">(B23/$W23)*100</f>
        <v>13.464792966252869</v>
      </c>
      <c r="C24" s="636">
        <f t="shared" si="7"/>
        <v>1.592237480977406</v>
      </c>
      <c r="D24" s="636">
        <f t="shared" si="7"/>
        <v>20.347949076534057</v>
      </c>
      <c r="E24" s="636">
        <f t="shared" si="7"/>
        <v>1.1829054624652124</v>
      </c>
      <c r="F24" s="636">
        <f t="shared" si="7"/>
        <v>0.10130931327893879</v>
      </c>
      <c r="G24" s="636">
        <f t="shared" si="7"/>
        <v>7.8447515464965427</v>
      </c>
      <c r="H24" s="636">
        <f t="shared" si="7"/>
        <v>13.898597229722601</v>
      </c>
      <c r="I24" s="636">
        <f t="shared" si="7"/>
        <v>7.6128914776370404</v>
      </c>
      <c r="J24" s="636">
        <f t="shared" si="7"/>
        <v>1.1506772501097158</v>
      </c>
      <c r="K24" s="636">
        <f t="shared" si="7"/>
        <v>1.1962977539970931</v>
      </c>
      <c r="L24" s="636">
        <f t="shared" si="7"/>
        <v>3.1347596926709964</v>
      </c>
      <c r="M24" s="636">
        <f t="shared" si="7"/>
        <v>9.2738728435640638</v>
      </c>
      <c r="N24" s="636">
        <f t="shared" si="7"/>
        <v>0.18816651339397761</v>
      </c>
      <c r="O24" s="636">
        <f t="shared" si="7"/>
        <v>0.68618633302197063</v>
      </c>
      <c r="P24" s="636">
        <f t="shared" si="7"/>
        <v>3.2146317047568167</v>
      </c>
      <c r="Q24" s="636">
        <f t="shared" si="7"/>
        <v>2.6244555768536881</v>
      </c>
      <c r="R24" s="636">
        <f>(R23/$W23)*100</f>
        <v>2.6302845958297945</v>
      </c>
      <c r="S24" s="636">
        <f>(S23/$W23)*100</f>
        <v>0.14485834761282404</v>
      </c>
      <c r="T24" s="636">
        <f t="shared" si="7"/>
        <v>5.4521078647918104</v>
      </c>
      <c r="U24" s="636">
        <f t="shared" si="7"/>
        <v>95.741733029967421</v>
      </c>
      <c r="V24" s="636">
        <f t="shared" si="7"/>
        <v>4.2582669700325804</v>
      </c>
      <c r="W24" s="636">
        <f t="shared" si="7"/>
        <v>100</v>
      </c>
      <c r="X24" s="309"/>
      <c r="Y24" s="309"/>
      <c r="Z24" s="370"/>
    </row>
    <row r="25" spans="1:27" s="170" customFormat="1" ht="15" customHeight="1">
      <c r="A25" s="399" t="s">
        <v>1263</v>
      </c>
      <c r="B25" s="267">
        <v>288438</v>
      </c>
      <c r="C25" s="267">
        <v>38766</v>
      </c>
      <c r="D25" s="267">
        <v>452319</v>
      </c>
      <c r="E25" s="267">
        <v>26291</v>
      </c>
      <c r="F25" s="267">
        <v>2180</v>
      </c>
      <c r="G25" s="267">
        <v>178734</v>
      </c>
      <c r="H25" s="267">
        <v>312225</v>
      </c>
      <c r="I25" s="267">
        <v>167710</v>
      </c>
      <c r="J25" s="267">
        <v>25173</v>
      </c>
      <c r="K25" s="267">
        <v>26907</v>
      </c>
      <c r="L25" s="267">
        <v>68524</v>
      </c>
      <c r="M25" s="267">
        <v>198921</v>
      </c>
      <c r="N25" s="267">
        <v>4061</v>
      </c>
      <c r="O25" s="267">
        <v>15155</v>
      </c>
      <c r="P25" s="267">
        <v>74220</v>
      </c>
      <c r="Q25" s="267">
        <v>57722</v>
      </c>
      <c r="R25" s="267">
        <v>60242</v>
      </c>
      <c r="S25" s="267">
        <v>3157</v>
      </c>
      <c r="T25" s="267">
        <v>116731</v>
      </c>
      <c r="U25" s="267">
        <f>SUM(B25:T25)</f>
        <v>2117476</v>
      </c>
      <c r="V25" s="267">
        <v>95147</v>
      </c>
      <c r="W25" s="267">
        <f>U25+V25</f>
        <v>2212623</v>
      </c>
      <c r="X25" s="267">
        <v>76394</v>
      </c>
      <c r="Y25" s="267">
        <f>W25+X25</f>
        <v>2289017</v>
      </c>
      <c r="Z25" s="394" t="s">
        <v>1263</v>
      </c>
    </row>
    <row r="26" spans="1:27" ht="15" customHeight="1">
      <c r="A26" s="413"/>
      <c r="B26" s="636">
        <f t="shared" ref="B26:W26" si="8">(B25/$W25)*100</f>
        <v>13.036021048321381</v>
      </c>
      <c r="C26" s="636">
        <f t="shared" si="8"/>
        <v>1.7520381917751011</v>
      </c>
      <c r="D26" s="636">
        <f t="shared" si="8"/>
        <v>20.442660136860187</v>
      </c>
      <c r="E26" s="636">
        <f t="shared" si="8"/>
        <v>1.1882277279048443</v>
      </c>
      <c r="F26" s="636">
        <f t="shared" si="8"/>
        <v>9.8525596091155146E-2</v>
      </c>
      <c r="G26" s="636">
        <f t="shared" si="8"/>
        <v>8.0779238035580381</v>
      </c>
      <c r="H26" s="636">
        <f t="shared" si="8"/>
        <v>14.111079926404091</v>
      </c>
      <c r="I26" s="636">
        <f t="shared" si="8"/>
        <v>7.5796916148842346</v>
      </c>
      <c r="J26" s="636">
        <f t="shared" si="8"/>
        <v>1.1376994634874535</v>
      </c>
      <c r="K26" s="636">
        <f t="shared" si="8"/>
        <v>1.2160679880847303</v>
      </c>
      <c r="L26" s="636">
        <f t="shared" si="8"/>
        <v>3.0969577736469338</v>
      </c>
      <c r="M26" s="636">
        <f t="shared" si="8"/>
        <v>8.9902798624076485</v>
      </c>
      <c r="N26" s="636">
        <f t="shared" si="8"/>
        <v>0.18353781914045006</v>
      </c>
      <c r="O26" s="636">
        <f t="shared" si="8"/>
        <v>0.68493367374378744</v>
      </c>
      <c r="P26" s="636">
        <f t="shared" si="8"/>
        <v>3.3543897898557504</v>
      </c>
      <c r="Q26" s="636">
        <f t="shared" si="8"/>
        <v>2.6087589254925039</v>
      </c>
      <c r="R26" s="636">
        <f t="shared" si="8"/>
        <v>2.7226508989556737</v>
      </c>
      <c r="S26" s="636">
        <f t="shared" si="8"/>
        <v>0.14268133342191597</v>
      </c>
      <c r="T26" s="636">
        <f t="shared" si="8"/>
        <v>5.2756841088608404</v>
      </c>
      <c r="U26" s="636">
        <f t="shared" si="8"/>
        <v>95.699809682896714</v>
      </c>
      <c r="V26" s="636">
        <f t="shared" si="8"/>
        <v>4.3001903171032749</v>
      </c>
      <c r="W26" s="636">
        <f t="shared" si="8"/>
        <v>100</v>
      </c>
      <c r="X26" s="309"/>
      <c r="Y26" s="309"/>
      <c r="Z26" s="370"/>
    </row>
    <row r="27" spans="1:27" s="170" customFormat="1" ht="15" customHeight="1">
      <c r="A27" s="399" t="s">
        <v>1392</v>
      </c>
      <c r="B27" s="267">
        <v>298662</v>
      </c>
      <c r="C27" s="267">
        <v>42469</v>
      </c>
      <c r="D27" s="267">
        <v>499598</v>
      </c>
      <c r="E27" s="267">
        <v>28466</v>
      </c>
      <c r="F27" s="267">
        <v>2244</v>
      </c>
      <c r="G27" s="267">
        <v>196710</v>
      </c>
      <c r="H27" s="267">
        <v>339505</v>
      </c>
      <c r="I27" s="397">
        <v>179010</v>
      </c>
      <c r="J27" s="267">
        <v>26564</v>
      </c>
      <c r="K27" s="267">
        <v>28728</v>
      </c>
      <c r="L27" s="267">
        <v>73278</v>
      </c>
      <c r="M27" s="267">
        <v>205841</v>
      </c>
      <c r="N27" s="267">
        <v>4227</v>
      </c>
      <c r="O27" s="267">
        <v>16329</v>
      </c>
      <c r="P27" s="267">
        <v>80656</v>
      </c>
      <c r="Q27" s="267">
        <v>61120</v>
      </c>
      <c r="R27" s="267">
        <v>65783</v>
      </c>
      <c r="S27" s="267">
        <v>3322</v>
      </c>
      <c r="T27" s="267">
        <v>120489</v>
      </c>
      <c r="U27" s="267">
        <f>SUM(B27:T27)</f>
        <v>2273001</v>
      </c>
      <c r="V27" s="267">
        <v>101573</v>
      </c>
      <c r="W27" s="267">
        <f>U27+V27</f>
        <v>2374574</v>
      </c>
      <c r="X27" s="267">
        <v>94959</v>
      </c>
      <c r="Y27" s="267">
        <f>W27+X27</f>
        <v>2469533</v>
      </c>
      <c r="Z27" s="394" t="s">
        <v>1392</v>
      </c>
    </row>
    <row r="28" spans="1:27" ht="15" customHeight="1">
      <c r="A28" s="413"/>
      <c r="B28" s="636">
        <f t="shared" ref="B28:W28" si="9">(B27/$W27)*100</f>
        <v>12.577498111240162</v>
      </c>
      <c r="C28" s="636">
        <f t="shared" si="9"/>
        <v>1.7884892195400102</v>
      </c>
      <c r="D28" s="636">
        <f t="shared" si="9"/>
        <v>21.039479081300478</v>
      </c>
      <c r="E28" s="636">
        <f t="shared" si="9"/>
        <v>1.1987834449463357</v>
      </c>
      <c r="F28" s="636">
        <f t="shared" si="9"/>
        <v>9.4501161050361021E-2</v>
      </c>
      <c r="G28" s="636">
        <f t="shared" si="9"/>
        <v>8.2840122059788417</v>
      </c>
      <c r="H28" s="636">
        <f t="shared" si="9"/>
        <v>14.297511890553844</v>
      </c>
      <c r="I28" s="636">
        <f t="shared" si="9"/>
        <v>7.5386153474265276</v>
      </c>
      <c r="J28" s="636">
        <f t="shared" si="9"/>
        <v>1.1186848672646126</v>
      </c>
      <c r="K28" s="636">
        <f t="shared" si="9"/>
        <v>1.2098170029655846</v>
      </c>
      <c r="L28" s="636">
        <f t="shared" si="9"/>
        <v>3.0859429944065755</v>
      </c>
      <c r="M28" s="636">
        <f t="shared" si="9"/>
        <v>8.6685443367947261</v>
      </c>
      <c r="N28" s="636">
        <f t="shared" si="9"/>
        <v>0.1780108768983405</v>
      </c>
      <c r="O28" s="636">
        <f t="shared" si="9"/>
        <v>0.68766018662715922</v>
      </c>
      <c r="P28" s="636">
        <f t="shared" si="9"/>
        <v>3.3966513572539747</v>
      </c>
      <c r="Q28" s="636">
        <f t="shared" si="9"/>
        <v>2.5739353669331848</v>
      </c>
      <c r="R28" s="636">
        <f t="shared" si="9"/>
        <v>2.7703074319856951</v>
      </c>
      <c r="S28" s="636">
        <f t="shared" si="9"/>
        <v>0.1398987776333776</v>
      </c>
      <c r="T28" s="636">
        <f t="shared" si="9"/>
        <v>5.0741311915316185</v>
      </c>
      <c r="U28" s="636">
        <f t="shared" si="9"/>
        <v>95.722474852331402</v>
      </c>
      <c r="V28" s="636">
        <f t="shared" si="9"/>
        <v>4.2775251476685918</v>
      </c>
      <c r="W28" s="636">
        <f t="shared" si="9"/>
        <v>100</v>
      </c>
      <c r="X28" s="309"/>
      <c r="Y28" s="309"/>
      <c r="Z28" s="370"/>
    </row>
    <row r="29" spans="1:27" s="170" customFormat="1" ht="15" customHeight="1">
      <c r="A29" s="399" t="s">
        <v>1511</v>
      </c>
      <c r="B29" s="267">
        <v>308399.90000000002</v>
      </c>
      <c r="C29" s="267">
        <v>47271</v>
      </c>
      <c r="D29" s="267">
        <v>561220</v>
      </c>
      <c r="E29" s="267">
        <v>30812</v>
      </c>
      <c r="F29" s="267">
        <v>2386</v>
      </c>
      <c r="G29" s="267">
        <v>217314</v>
      </c>
      <c r="H29" s="267">
        <v>369561</v>
      </c>
      <c r="I29" s="267">
        <v>191556</v>
      </c>
      <c r="J29" s="397">
        <v>28061</v>
      </c>
      <c r="K29" s="267">
        <v>30842</v>
      </c>
      <c r="L29" s="267">
        <v>79324</v>
      </c>
      <c r="M29" s="267">
        <v>213268</v>
      </c>
      <c r="N29" s="267">
        <v>4403</v>
      </c>
      <c r="O29" s="267">
        <v>17663</v>
      </c>
      <c r="P29" s="267">
        <v>85890</v>
      </c>
      <c r="Q29" s="267">
        <v>65434</v>
      </c>
      <c r="R29" s="267">
        <v>73809</v>
      </c>
      <c r="S29" s="267">
        <v>3504</v>
      </c>
      <c r="T29" s="267">
        <v>124429</v>
      </c>
      <c r="U29" s="267">
        <f>SUM(B29:T29)</f>
        <v>2455146.9</v>
      </c>
      <c r="V29" s="267">
        <v>106588</v>
      </c>
      <c r="W29" s="267">
        <f>U29+V29</f>
        <v>2561734.9</v>
      </c>
      <c r="X29" s="267">
        <v>104932</v>
      </c>
      <c r="Y29" s="267">
        <f>W29+X29</f>
        <v>2666666.9</v>
      </c>
      <c r="Z29" s="394" t="s">
        <v>1511</v>
      </c>
    </row>
    <row r="30" spans="1:27" ht="15" customHeight="1">
      <c r="A30" s="413"/>
      <c r="B30" s="636">
        <f t="shared" ref="B30:W30" si="10">(B29/$W29)*100</f>
        <v>12.038712514710246</v>
      </c>
      <c r="C30" s="636">
        <f t="shared" si="10"/>
        <v>1.8452729047022003</v>
      </c>
      <c r="D30" s="636">
        <f t="shared" si="10"/>
        <v>21.907809430241983</v>
      </c>
      <c r="E30" s="636">
        <f t="shared" si="10"/>
        <v>1.2027786325587397</v>
      </c>
      <c r="F30" s="636">
        <f t="shared" si="10"/>
        <v>9.314000445557423E-2</v>
      </c>
      <c r="G30" s="636">
        <f t="shared" si="10"/>
        <v>8.4830791820027915</v>
      </c>
      <c r="H30" s="636">
        <f t="shared" si="10"/>
        <v>14.426199994386618</v>
      </c>
      <c r="I30" s="636">
        <f t="shared" si="10"/>
        <v>7.4775887231735032</v>
      </c>
      <c r="J30" s="636">
        <f t="shared" si="10"/>
        <v>1.095390471512099</v>
      </c>
      <c r="K30" s="636">
        <f t="shared" si="10"/>
        <v>1.2039497139223891</v>
      </c>
      <c r="L30" s="636">
        <f t="shared" si="10"/>
        <v>3.0964952696705659</v>
      </c>
      <c r="M30" s="636">
        <f t="shared" si="10"/>
        <v>8.3251393420919548</v>
      </c>
      <c r="N30" s="636">
        <f t="shared" si="10"/>
        <v>0.17187570813826208</v>
      </c>
      <c r="O30" s="636">
        <f t="shared" si="10"/>
        <v>0.68949367087125213</v>
      </c>
      <c r="P30" s="636">
        <f t="shared" si="10"/>
        <v>3.3528059441279421</v>
      </c>
      <c r="Q30" s="636">
        <f t="shared" si="10"/>
        <v>2.5542845983009403</v>
      </c>
      <c r="R30" s="636">
        <f t="shared" si="10"/>
        <v>2.8812114789863696</v>
      </c>
      <c r="S30" s="636">
        <f t="shared" si="10"/>
        <v>0.1367823032742381</v>
      </c>
      <c r="T30" s="636">
        <f t="shared" si="10"/>
        <v>4.8572160999172862</v>
      </c>
      <c r="U30" s="636">
        <f t="shared" si="10"/>
        <v>95.839225987044955</v>
      </c>
      <c r="V30" s="636">
        <f t="shared" si="10"/>
        <v>4.1607740129550486</v>
      </c>
      <c r="W30" s="636">
        <f t="shared" si="10"/>
        <v>100</v>
      </c>
      <c r="X30" s="309"/>
      <c r="Y30" s="309"/>
      <c r="Z30" s="370"/>
    </row>
    <row r="31" spans="1:27" s="170" customFormat="1" ht="15" customHeight="1">
      <c r="A31" s="399" t="s">
        <v>1602</v>
      </c>
      <c r="B31" s="267">
        <v>318950</v>
      </c>
      <c r="C31" s="267">
        <v>48765</v>
      </c>
      <c r="D31" s="267">
        <v>570654</v>
      </c>
      <c r="E31" s="267">
        <v>31020</v>
      </c>
      <c r="F31" s="267">
        <v>2438</v>
      </c>
      <c r="G31" s="267">
        <v>237146</v>
      </c>
      <c r="H31" s="267">
        <v>381439</v>
      </c>
      <c r="I31" s="267">
        <v>194870</v>
      </c>
      <c r="J31" s="267">
        <v>28535</v>
      </c>
      <c r="K31" s="267">
        <v>32868</v>
      </c>
      <c r="L31" s="267">
        <v>83068</v>
      </c>
      <c r="M31" s="267">
        <v>221109</v>
      </c>
      <c r="N31" s="267">
        <v>4552</v>
      </c>
      <c r="O31" s="267">
        <v>18781</v>
      </c>
      <c r="P31" s="267">
        <v>90602</v>
      </c>
      <c r="Q31" s="267">
        <v>68924</v>
      </c>
      <c r="R31" s="267">
        <v>81704</v>
      </c>
      <c r="S31" s="267">
        <v>3695</v>
      </c>
      <c r="T31" s="267">
        <v>128242</v>
      </c>
      <c r="U31" s="267">
        <f>SUM(B31:T31)</f>
        <v>2547362</v>
      </c>
      <c r="V31" s="267">
        <v>102703</v>
      </c>
      <c r="W31" s="267">
        <f>U31+V31</f>
        <v>2650065</v>
      </c>
      <c r="X31" s="267">
        <v>109691</v>
      </c>
      <c r="Y31" s="267">
        <f>W31+X31</f>
        <v>2759756</v>
      </c>
      <c r="Z31" s="394" t="s">
        <v>1602</v>
      </c>
    </row>
    <row r="32" spans="1:27" ht="15" customHeight="1">
      <c r="A32" s="413"/>
      <c r="B32" s="636">
        <f t="shared" ref="B32:W32" si="11">(B31/$W31)*100</f>
        <v>12.035553844905692</v>
      </c>
      <c r="C32" s="636">
        <f t="shared" si="11"/>
        <v>1.8401435436489293</v>
      </c>
      <c r="D32" s="636">
        <f t="shared" si="11"/>
        <v>21.533585025272963</v>
      </c>
      <c r="E32" s="636">
        <f t="shared" si="11"/>
        <v>1.1705373264429364</v>
      </c>
      <c r="F32" s="636">
        <f t="shared" si="11"/>
        <v>9.1997743451575714E-2</v>
      </c>
      <c r="G32" s="636">
        <f t="shared" si="11"/>
        <v>8.9486861643016304</v>
      </c>
      <c r="H32" s="636">
        <f t="shared" si="11"/>
        <v>14.393571478435435</v>
      </c>
      <c r="I32" s="636">
        <f t="shared" si="11"/>
        <v>7.3534045391339458</v>
      </c>
      <c r="J32" s="636">
        <f t="shared" si="11"/>
        <v>1.0767660415876592</v>
      </c>
      <c r="K32" s="636">
        <f t="shared" si="11"/>
        <v>1.2402714650395368</v>
      </c>
      <c r="L32" s="636">
        <f t="shared" si="11"/>
        <v>3.1345646238865843</v>
      </c>
      <c r="M32" s="636">
        <f t="shared" si="11"/>
        <v>8.3435311964046157</v>
      </c>
      <c r="N32" s="636">
        <f t="shared" si="11"/>
        <v>0.17176937169465653</v>
      </c>
      <c r="O32" s="636">
        <f t="shared" si="11"/>
        <v>0.7086995979343903</v>
      </c>
      <c r="P32" s="636">
        <f t="shared" si="11"/>
        <v>3.418859537407573</v>
      </c>
      <c r="Q32" s="636">
        <f t="shared" si="11"/>
        <v>2.6008418661429058</v>
      </c>
      <c r="R32" s="636">
        <f t="shared" si="11"/>
        <v>3.0830941882557599</v>
      </c>
      <c r="S32" s="636">
        <f t="shared" si="11"/>
        <v>0.13943054226971791</v>
      </c>
      <c r="T32" s="636">
        <f t="shared" si="11"/>
        <v>4.8392020573080288</v>
      </c>
      <c r="U32" s="636">
        <f t="shared" si="11"/>
        <v>96.12451015352454</v>
      </c>
      <c r="V32" s="636">
        <f t="shared" si="11"/>
        <v>3.8754898464754639</v>
      </c>
      <c r="W32" s="636">
        <f t="shared" si="11"/>
        <v>100</v>
      </c>
      <c r="X32" s="309"/>
      <c r="Y32" s="309"/>
      <c r="Z32" s="370"/>
    </row>
    <row r="33" spans="1:26" s="170" customFormat="1" ht="15" customHeight="1">
      <c r="A33" s="399" t="s">
        <v>1668</v>
      </c>
      <c r="B33" s="397">
        <v>329075</v>
      </c>
      <c r="C33" s="397">
        <v>51932</v>
      </c>
      <c r="D33" s="397">
        <v>636764</v>
      </c>
      <c r="E33" s="397">
        <v>33980</v>
      </c>
      <c r="F33" s="397">
        <v>2599</v>
      </c>
      <c r="G33" s="397">
        <v>256305</v>
      </c>
      <c r="H33" s="397">
        <v>410589</v>
      </c>
      <c r="I33" s="397">
        <v>202740</v>
      </c>
      <c r="J33" s="397">
        <v>29828</v>
      </c>
      <c r="K33" s="397">
        <v>35206</v>
      </c>
      <c r="L33" s="397">
        <v>87901</v>
      </c>
      <c r="M33" s="397">
        <v>228668</v>
      </c>
      <c r="N33" s="397">
        <v>4784</v>
      </c>
      <c r="O33" s="397">
        <v>19911</v>
      </c>
      <c r="P33" s="397">
        <v>96081</v>
      </c>
      <c r="Q33" s="397">
        <v>72932</v>
      </c>
      <c r="R33" s="397">
        <v>90364</v>
      </c>
      <c r="S33" s="397">
        <v>3908</v>
      </c>
      <c r="T33" s="397">
        <v>132197</v>
      </c>
      <c r="U33" s="267">
        <f>SUM(B33:T33)</f>
        <v>2725764</v>
      </c>
      <c r="V33" s="397">
        <v>108180</v>
      </c>
      <c r="W33" s="267">
        <f>U33+V33</f>
        <v>2833944</v>
      </c>
      <c r="X33" s="397">
        <v>149165</v>
      </c>
      <c r="Y33" s="267">
        <f>W33+X33</f>
        <v>2983109</v>
      </c>
      <c r="Z33" s="394" t="s">
        <v>1668</v>
      </c>
    </row>
    <row r="34" spans="1:26" ht="15" customHeight="1">
      <c r="A34" s="413"/>
      <c r="B34" s="636">
        <f t="shared" ref="B34:W38" si="12">(B33/$W33)*100</f>
        <v>11.61190905677741</v>
      </c>
      <c r="C34" s="636">
        <f t="shared" si="12"/>
        <v>1.8324991601810054</v>
      </c>
      <c r="D34" s="636">
        <f t="shared" si="12"/>
        <v>22.469180760099704</v>
      </c>
      <c r="E34" s="636">
        <f t="shared" si="12"/>
        <v>1.1990356901900672</v>
      </c>
      <c r="F34" s="636">
        <f t="shared" si="12"/>
        <v>9.1709645638728216E-2</v>
      </c>
      <c r="G34" s="636">
        <f t="shared" si="12"/>
        <v>9.0441095519177512</v>
      </c>
      <c r="H34" s="636">
        <f t="shared" si="12"/>
        <v>14.488253825763669</v>
      </c>
      <c r="I34" s="636">
        <f t="shared" si="12"/>
        <v>7.1539875170433849</v>
      </c>
      <c r="J34" s="636">
        <f t="shared" si="12"/>
        <v>1.0525260908472434</v>
      </c>
      <c r="K34" s="636">
        <f t="shared" si="12"/>
        <v>1.2422969543505447</v>
      </c>
      <c r="L34" s="636">
        <f t="shared" si="12"/>
        <v>3.10171972346666</v>
      </c>
      <c r="M34" s="636">
        <f t="shared" si="12"/>
        <v>8.068896209663988</v>
      </c>
      <c r="N34" s="636">
        <f t="shared" si="12"/>
        <v>0.16881067515801298</v>
      </c>
      <c r="O34" s="636">
        <f t="shared" si="12"/>
        <v>0.70258974771555116</v>
      </c>
      <c r="P34" s="636">
        <f t="shared" si="12"/>
        <v>3.3903633946189484</v>
      </c>
      <c r="Q34" s="636">
        <f t="shared" si="12"/>
        <v>2.5735159198629192</v>
      </c>
      <c r="R34" s="636">
        <f t="shared" si="12"/>
        <v>3.1886304034236388</v>
      </c>
      <c r="S34" s="636">
        <f t="shared" si="12"/>
        <v>0.13789969032556748</v>
      </c>
      <c r="T34" s="636">
        <f t="shared" si="12"/>
        <v>4.6647710752223759</v>
      </c>
      <c r="U34" s="636">
        <f t="shared" si="12"/>
        <v>96.18270509226717</v>
      </c>
      <c r="V34" s="636">
        <f t="shared" si="12"/>
        <v>3.8172949077328275</v>
      </c>
      <c r="W34" s="636">
        <f t="shared" si="12"/>
        <v>100</v>
      </c>
      <c r="X34" s="309"/>
      <c r="Y34" s="309"/>
      <c r="Z34" s="370"/>
    </row>
    <row r="35" spans="1:26" ht="15" customHeight="1">
      <c r="A35" s="399" t="s">
        <v>2018</v>
      </c>
      <c r="B35" s="397">
        <v>339125</v>
      </c>
      <c r="C35" s="397">
        <v>51352</v>
      </c>
      <c r="D35" s="397">
        <v>709425</v>
      </c>
      <c r="E35" s="397">
        <v>36070</v>
      </c>
      <c r="F35" s="397">
        <v>2848</v>
      </c>
      <c r="G35" s="397">
        <v>278628</v>
      </c>
      <c r="H35" s="397">
        <v>445317</v>
      </c>
      <c r="I35" s="397">
        <v>214399</v>
      </c>
      <c r="J35" s="397">
        <v>31428</v>
      </c>
      <c r="K35" s="397">
        <v>36891</v>
      </c>
      <c r="L35" s="397">
        <v>93061</v>
      </c>
      <c r="M35" s="397">
        <v>237134</v>
      </c>
      <c r="N35" s="397">
        <v>4987</v>
      </c>
      <c r="O35" s="397">
        <v>21108</v>
      </c>
      <c r="P35" s="397">
        <v>100802</v>
      </c>
      <c r="Q35" s="397">
        <v>78675</v>
      </c>
      <c r="R35" s="397">
        <v>99289</v>
      </c>
      <c r="S35" s="397">
        <v>4145</v>
      </c>
      <c r="T35" s="397">
        <v>136410</v>
      </c>
      <c r="U35" s="267">
        <f>SUM(B35:T35)</f>
        <v>2921094</v>
      </c>
      <c r="V35" s="397">
        <v>114056</v>
      </c>
      <c r="W35" s="267">
        <f>U35+V35</f>
        <v>3035150</v>
      </c>
      <c r="X35" s="397">
        <v>120242</v>
      </c>
      <c r="Y35" s="267">
        <f>W35+X35</f>
        <v>3155392</v>
      </c>
      <c r="Z35" s="394" t="s">
        <v>2018</v>
      </c>
    </row>
    <row r="36" spans="1:26" ht="15" customHeight="1">
      <c r="A36" s="413"/>
      <c r="B36" s="636">
        <f>(B35/$W35)*100</f>
        <v>11.173253381216744</v>
      </c>
      <c r="C36" s="636">
        <f t="shared" si="12"/>
        <v>1.6919097902904305</v>
      </c>
      <c r="D36" s="636">
        <f t="shared" si="12"/>
        <v>23.373638864636014</v>
      </c>
      <c r="E36" s="636">
        <f t="shared" si="12"/>
        <v>1.1884091395812397</v>
      </c>
      <c r="F36" s="636">
        <f t="shared" si="12"/>
        <v>9.3833912656705598E-2</v>
      </c>
      <c r="G36" s="636">
        <f t="shared" si="12"/>
        <v>9.1800405251799742</v>
      </c>
      <c r="H36" s="636">
        <f t="shared" si="12"/>
        <v>14.671993146961434</v>
      </c>
      <c r="I36" s="636">
        <f t="shared" si="12"/>
        <v>7.0638683425860345</v>
      </c>
      <c r="J36" s="636">
        <f t="shared" si="12"/>
        <v>1.0354677693029999</v>
      </c>
      <c r="K36" s="636">
        <f t="shared" si="12"/>
        <v>1.2154588735317859</v>
      </c>
      <c r="L36" s="636">
        <f t="shared" si="12"/>
        <v>3.0661087590399156</v>
      </c>
      <c r="M36" s="636">
        <f t="shared" si="12"/>
        <v>7.8129252261008517</v>
      </c>
      <c r="N36" s="636">
        <f t="shared" si="12"/>
        <v>0.16430818905161193</v>
      </c>
      <c r="O36" s="636">
        <f t="shared" si="12"/>
        <v>0.69545162512561154</v>
      </c>
      <c r="P36" s="636">
        <f t="shared" si="12"/>
        <v>3.3211538144737491</v>
      </c>
      <c r="Q36" s="636">
        <f t="shared" si="12"/>
        <v>2.5921288898407</v>
      </c>
      <c r="R36" s="636">
        <f>(R35/$W35)*100</f>
        <v>3.2713045483748746</v>
      </c>
      <c r="S36" s="636">
        <f>(S35/$W35)*100</f>
        <v>0.13656656178442581</v>
      </c>
      <c r="T36" s="636">
        <f>(T35/$W35)*100</f>
        <v>4.4943413010889079</v>
      </c>
      <c r="U36" s="636">
        <f t="shared" si="12"/>
        <v>96.242162660824022</v>
      </c>
      <c r="V36" s="636">
        <f t="shared" si="12"/>
        <v>3.7578373391759881</v>
      </c>
      <c r="W36" s="636">
        <f t="shared" si="12"/>
        <v>100</v>
      </c>
      <c r="X36" s="309"/>
      <c r="Y36" s="309"/>
      <c r="Z36" s="370"/>
    </row>
    <row r="37" spans="1:26" ht="15" customHeight="1">
      <c r="A37" s="399" t="s">
        <v>2299</v>
      </c>
      <c r="B37" s="397">
        <v>350559</v>
      </c>
      <c r="C37" s="397">
        <v>57888</v>
      </c>
      <c r="D37" s="397">
        <v>772522</v>
      </c>
      <c r="E37" s="397">
        <v>36959</v>
      </c>
      <c r="F37" s="397">
        <v>3100</v>
      </c>
      <c r="G37" s="397">
        <v>298079</v>
      </c>
      <c r="H37" s="397">
        <v>473716</v>
      </c>
      <c r="I37" s="397">
        <v>226164</v>
      </c>
      <c r="J37" s="397">
        <v>33265</v>
      </c>
      <c r="K37" s="397">
        <v>39235</v>
      </c>
      <c r="L37" s="397">
        <v>95433</v>
      </c>
      <c r="M37" s="397">
        <v>245870</v>
      </c>
      <c r="N37" s="397">
        <v>5426</v>
      </c>
      <c r="O37" s="397">
        <v>22694</v>
      </c>
      <c r="P37" s="397">
        <v>107890</v>
      </c>
      <c r="Q37" s="397">
        <v>83021</v>
      </c>
      <c r="R37" s="397">
        <v>106457</v>
      </c>
      <c r="S37" s="397">
        <v>4408</v>
      </c>
      <c r="T37" s="397">
        <v>140833</v>
      </c>
      <c r="U37" s="397">
        <f>SUM(B37:T37)</f>
        <v>3103519</v>
      </c>
      <c r="V37" s="397">
        <v>106914</v>
      </c>
      <c r="W37" s="267">
        <f>U37+V37</f>
        <v>3210433</v>
      </c>
      <c r="X37" s="397">
        <v>128135</v>
      </c>
      <c r="Y37" s="267">
        <f>W37+X37</f>
        <v>3338568</v>
      </c>
      <c r="Z37" s="394" t="s">
        <v>2299</v>
      </c>
    </row>
    <row r="38" spans="1:26" ht="15" customHeight="1" thickBot="1">
      <c r="A38" s="898"/>
      <c r="B38" s="614">
        <f>(B37/$W37)*100</f>
        <v>10.919368197373998</v>
      </c>
      <c r="C38" s="614">
        <f t="shared" si="12"/>
        <v>1.8031212612130514</v>
      </c>
      <c r="D38" s="614">
        <f t="shared" si="12"/>
        <v>24.062860056571807</v>
      </c>
      <c r="E38" s="614">
        <f t="shared" si="12"/>
        <v>1.1512154279500615</v>
      </c>
      <c r="F38" s="614">
        <f t="shared" si="12"/>
        <v>9.6560183626320822E-2</v>
      </c>
      <c r="G38" s="614">
        <f t="shared" si="12"/>
        <v>9.2846977339193817</v>
      </c>
      <c r="H38" s="614">
        <f t="shared" si="12"/>
        <v>14.755517402169737</v>
      </c>
      <c r="I38" s="614">
        <f t="shared" si="12"/>
        <v>7.0446572160203935</v>
      </c>
      <c r="J38" s="614">
        <f t="shared" si="12"/>
        <v>1.0361530672030845</v>
      </c>
      <c r="K38" s="614">
        <f t="shared" si="12"/>
        <v>1.2221092917995797</v>
      </c>
      <c r="L38" s="614">
        <f t="shared" si="12"/>
        <v>2.9725896787131205</v>
      </c>
      <c r="M38" s="614">
        <f t="shared" si="12"/>
        <v>7.6584684994204828</v>
      </c>
      <c r="N38" s="614">
        <f t="shared" si="12"/>
        <v>0.16901146979239251</v>
      </c>
      <c r="O38" s="614">
        <f t="shared" si="12"/>
        <v>0.70688284103733046</v>
      </c>
      <c r="P38" s="614">
        <f t="shared" si="12"/>
        <v>3.3606058746592748</v>
      </c>
      <c r="Q38" s="614">
        <f t="shared" si="12"/>
        <v>2.5859751628518644</v>
      </c>
      <c r="R38" s="614">
        <f>(R37/$W37)*100</f>
        <v>3.3159701510668502</v>
      </c>
      <c r="S38" s="614">
        <f>(S37/$W37)*100</f>
        <v>0.13730235142736197</v>
      </c>
      <c r="T38" s="614">
        <f>(T37/$W37)*100</f>
        <v>4.3867291421437544</v>
      </c>
      <c r="U38" s="614">
        <f t="shared" si="12"/>
        <v>96.669795008959852</v>
      </c>
      <c r="V38" s="614">
        <f t="shared" si="12"/>
        <v>3.3302049910401497</v>
      </c>
      <c r="W38" s="614">
        <f>(W37/$W37)*100</f>
        <v>100</v>
      </c>
      <c r="X38" s="833"/>
      <c r="Y38" s="833"/>
      <c r="Z38" s="899"/>
    </row>
    <row r="39" spans="1:26" ht="13.5" customHeight="1">
      <c r="A39" s="81" t="s">
        <v>2181</v>
      </c>
      <c r="B39" s="2278" t="s">
        <v>2182</v>
      </c>
      <c r="C39" s="2278"/>
      <c r="D39" s="2278"/>
      <c r="E39" s="2278"/>
      <c r="F39" s="2278"/>
      <c r="G39" s="2278"/>
      <c r="H39" s="2278"/>
      <c r="I39" s="2278"/>
      <c r="J39" s="2278"/>
      <c r="K39" s="271"/>
      <c r="L39" s="1524"/>
      <c r="M39" s="628"/>
      <c r="N39" s="747" t="s">
        <v>2183</v>
      </c>
      <c r="O39" s="7"/>
      <c r="P39" s="7"/>
      <c r="Q39" s="7"/>
      <c r="R39" s="55"/>
      <c r="S39" s="1264"/>
      <c r="T39" s="1264"/>
      <c r="U39" s="55" t="s">
        <v>2449</v>
      </c>
      <c r="V39" s="1264"/>
      <c r="W39" s="7"/>
      <c r="X39" s="2269"/>
      <c r="Y39" s="2269"/>
      <c r="Z39" s="7"/>
    </row>
    <row r="40" spans="1:26" ht="9.75" customHeight="1">
      <c r="B40" s="2276"/>
      <c r="C40" s="2276"/>
      <c r="D40" s="2276"/>
      <c r="E40" s="1818"/>
      <c r="F40" s="2269"/>
      <c r="G40" s="2269"/>
      <c r="H40" s="1818"/>
      <c r="I40" s="1818"/>
      <c r="J40" s="1818"/>
      <c r="K40" s="1818"/>
      <c r="L40" s="1818"/>
      <c r="P40" s="2277"/>
      <c r="Q40" s="2277"/>
      <c r="R40" s="2277"/>
      <c r="S40" s="1812"/>
    </row>
    <row r="41" spans="1:26" ht="9.75" customHeight="1"/>
    <row r="42" spans="1:26" ht="9.75" customHeight="1">
      <c r="D42" s="775"/>
      <c r="H42" s="1525"/>
    </row>
    <row r="43" spans="1:26" ht="9.75" customHeight="1">
      <c r="B43" s="775"/>
      <c r="C43" s="775"/>
      <c r="D43" s="775"/>
      <c r="E43" s="775"/>
      <c r="F43" s="775"/>
      <c r="G43" s="775"/>
      <c r="H43" s="775"/>
      <c r="I43" s="775"/>
      <c r="J43" s="775"/>
      <c r="K43" s="775"/>
      <c r="L43" s="775"/>
      <c r="M43" s="775"/>
      <c r="N43" s="775"/>
      <c r="O43" s="775"/>
      <c r="P43" s="775"/>
      <c r="Q43" s="775"/>
      <c r="R43" s="775"/>
      <c r="S43" s="775"/>
      <c r="T43" s="775"/>
      <c r="U43" s="775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39:Y39"/>
    <mergeCell ref="B40:D40"/>
    <mergeCell ref="F40:G40"/>
    <mergeCell ref="P40:R40"/>
    <mergeCell ref="B39:J39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N66"/>
  <sheetViews>
    <sheetView showWhiteSpace="0" topLeftCell="A31" zoomScale="140" zoomScaleNormal="140" workbookViewId="0">
      <selection activeCell="D1" sqref="D1:J1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7.140625" style="8" customWidth="1"/>
    <col min="10" max="10" width="7.42578125" style="8" customWidth="1"/>
    <col min="11" max="11" width="7.140625" style="8" customWidth="1"/>
    <col min="12" max="12" width="8.7109375" style="8" customWidth="1"/>
    <col min="13" max="13" width="6.7109375" style="8" customWidth="1"/>
    <col min="14" max="14" width="6.42578125" style="8" customWidth="1"/>
    <col min="15" max="15" width="8.5703125" style="8" customWidth="1"/>
    <col min="16" max="16" width="6.85546875" style="8" customWidth="1"/>
    <col min="17" max="17" width="7.42578125" style="8" customWidth="1"/>
    <col min="18" max="18" width="8.28515625" style="8" customWidth="1"/>
    <col min="19" max="19" width="7.85546875" style="88" customWidth="1"/>
    <col min="20" max="21" width="7.28515625" style="8" customWidth="1"/>
    <col min="22" max="22" width="7.7109375" style="8" customWidth="1"/>
    <col min="23" max="23" width="7" style="8" customWidth="1"/>
    <col min="24" max="24" width="7.28515625" style="8" customWidth="1"/>
    <col min="25" max="25" width="6.5703125" style="8" customWidth="1"/>
    <col min="26" max="26" width="7.42578125" style="8" customWidth="1"/>
    <col min="27" max="27" width="9.7109375" style="8" customWidth="1"/>
    <col min="28" max="28" width="7.5703125" style="8" customWidth="1"/>
    <col min="29" max="29" width="8.85546875" style="8" customWidth="1"/>
    <col min="30" max="30" width="10.42578125" style="8" customWidth="1"/>
    <col min="31" max="31" width="8.28515625" style="8" customWidth="1"/>
    <col min="32" max="32" width="7.7109375" style="8" customWidth="1"/>
    <col min="33" max="33" width="9.140625" style="8"/>
    <col min="34" max="34" width="8.140625" style="8" customWidth="1"/>
    <col min="35" max="35" width="10.28515625" style="8" customWidth="1"/>
    <col min="36" max="36" width="9.85546875" style="8" customWidth="1"/>
    <col min="37" max="37" width="7" style="8" customWidth="1"/>
    <col min="38" max="38" width="9.140625" style="8"/>
    <col min="39" max="39" width="5.7109375" style="8" customWidth="1"/>
    <col min="40" max="40" width="6.7109375" style="8" customWidth="1"/>
    <col min="41" max="16384" width="9.140625" style="8"/>
  </cols>
  <sheetData>
    <row r="1" spans="1:40" s="23" customFormat="1" ht="15.75" customHeight="1">
      <c r="A1" s="1176"/>
      <c r="B1" s="1176"/>
      <c r="C1" s="1177" t="s">
        <v>2227</v>
      </c>
      <c r="D1" s="1915" t="s">
        <v>2551</v>
      </c>
      <c r="E1" s="1915"/>
      <c r="F1" s="1915"/>
      <c r="G1" s="1915"/>
      <c r="H1" s="1915"/>
      <c r="I1" s="1915"/>
      <c r="J1" s="1915"/>
      <c r="K1" s="2280" t="s">
        <v>2557</v>
      </c>
      <c r="L1" s="2280"/>
      <c r="M1" s="2280"/>
      <c r="N1" s="2280"/>
      <c r="O1" s="2280"/>
      <c r="P1" s="2280"/>
      <c r="Q1" s="2280"/>
      <c r="R1" s="2280"/>
      <c r="S1" s="2280"/>
      <c r="T1" s="2280"/>
      <c r="U1" s="1176"/>
      <c r="V1" s="1176"/>
      <c r="W1" s="1177" t="s">
        <v>2227</v>
      </c>
      <c r="X1" s="1177"/>
      <c r="Y1" s="1915" t="s">
        <v>2551</v>
      </c>
      <c r="Z1" s="1915"/>
      <c r="AA1" s="1915"/>
      <c r="AB1" s="1915"/>
      <c r="AC1" s="1915"/>
      <c r="AD1" s="1915"/>
      <c r="AE1" s="1885" t="s">
        <v>2558</v>
      </c>
      <c r="AF1" s="1885"/>
      <c r="AG1" s="1885"/>
      <c r="AH1" s="1885"/>
      <c r="AI1" s="1885"/>
      <c r="AJ1" s="1885"/>
      <c r="AK1" s="1885"/>
      <c r="AL1" s="1885"/>
      <c r="AM1" s="1885"/>
      <c r="AN1" s="1885"/>
    </row>
    <row r="2" spans="1:40" s="93" customFormat="1" ht="11.25" customHeight="1">
      <c r="A2" s="1697"/>
      <c r="B2" s="1697"/>
      <c r="E2" s="1697"/>
      <c r="F2" s="1697"/>
      <c r="G2" s="1697"/>
      <c r="H2" s="1697"/>
      <c r="I2" s="1697"/>
      <c r="J2" s="2288"/>
      <c r="K2" s="2288"/>
      <c r="L2" s="2288"/>
      <c r="M2" s="94"/>
      <c r="N2" s="94"/>
      <c r="O2" s="94"/>
      <c r="R2" s="2289" t="s">
        <v>2552</v>
      </c>
      <c r="S2" s="2289"/>
      <c r="T2" s="2289"/>
      <c r="U2" s="1697"/>
      <c r="V2" s="1697"/>
      <c r="Y2" s="1697"/>
      <c r="Z2" s="1697"/>
      <c r="AA2" s="1697"/>
      <c r="AB2" s="1697"/>
      <c r="AC2" s="1697"/>
      <c r="AD2" s="2288"/>
      <c r="AE2" s="2288"/>
      <c r="AF2" s="2288"/>
      <c r="AG2" s="94"/>
      <c r="AH2" s="94"/>
      <c r="AI2" s="94"/>
      <c r="AL2" s="2279" t="s">
        <v>24</v>
      </c>
      <c r="AM2" s="2279"/>
      <c r="AN2" s="2279"/>
    </row>
    <row r="3" spans="1:40" s="146" customFormat="1" ht="11.25" customHeight="1">
      <c r="A3" s="2182" t="s">
        <v>498</v>
      </c>
      <c r="B3" s="1698" t="s">
        <v>148</v>
      </c>
      <c r="C3" s="2283" t="s">
        <v>2528</v>
      </c>
      <c r="D3" s="2284"/>
      <c r="E3" s="2284"/>
      <c r="F3" s="2284"/>
      <c r="G3" s="2285"/>
      <c r="H3" s="2283" t="s">
        <v>335</v>
      </c>
      <c r="I3" s="2284"/>
      <c r="J3" s="2284"/>
      <c r="K3" s="2284"/>
      <c r="L3" s="2284"/>
      <c r="M3" s="2284"/>
      <c r="N3" s="2284"/>
      <c r="O3" s="2285"/>
      <c r="P3" s="2286" t="s">
        <v>2535</v>
      </c>
      <c r="Q3" s="2182" t="s">
        <v>2176</v>
      </c>
      <c r="R3" s="2182" t="s">
        <v>2536</v>
      </c>
      <c r="S3" s="2281" t="s">
        <v>2537</v>
      </c>
      <c r="T3" s="2182" t="s">
        <v>498</v>
      </c>
      <c r="U3" s="2182" t="s">
        <v>498</v>
      </c>
      <c r="V3" s="1699" t="s">
        <v>148</v>
      </c>
      <c r="W3" s="2283" t="s">
        <v>2528</v>
      </c>
      <c r="X3" s="2284"/>
      <c r="Y3" s="2284"/>
      <c r="Z3" s="2284"/>
      <c r="AA3" s="2285"/>
      <c r="AB3" s="2283" t="s">
        <v>335</v>
      </c>
      <c r="AC3" s="2284"/>
      <c r="AD3" s="2284"/>
      <c r="AE3" s="2284"/>
      <c r="AF3" s="2284"/>
      <c r="AG3" s="2284"/>
      <c r="AH3" s="2284"/>
      <c r="AI3" s="2285"/>
      <c r="AJ3" s="2286" t="s">
        <v>2535</v>
      </c>
      <c r="AK3" s="2182" t="s">
        <v>2176</v>
      </c>
      <c r="AL3" s="2182" t="s">
        <v>2555</v>
      </c>
      <c r="AM3" s="2281" t="s">
        <v>2537</v>
      </c>
      <c r="AN3" s="2182" t="s">
        <v>498</v>
      </c>
    </row>
    <row r="4" spans="1:40" s="42" customFormat="1" ht="69" customHeight="1">
      <c r="A4" s="2198"/>
      <c r="B4" s="1722" t="s">
        <v>2162</v>
      </c>
      <c r="C4" s="1722" t="s">
        <v>1333</v>
      </c>
      <c r="D4" s="1722" t="s">
        <v>270</v>
      </c>
      <c r="E4" s="1722" t="s">
        <v>2527</v>
      </c>
      <c r="F4" s="1722" t="s">
        <v>271</v>
      </c>
      <c r="G4" s="1722" t="s">
        <v>494</v>
      </c>
      <c r="H4" s="1722" t="s">
        <v>2529</v>
      </c>
      <c r="I4" s="1722" t="s">
        <v>2530</v>
      </c>
      <c r="J4" s="1722" t="s">
        <v>2531</v>
      </c>
      <c r="K4" s="1722" t="s">
        <v>2168</v>
      </c>
      <c r="L4" s="1722" t="s">
        <v>2532</v>
      </c>
      <c r="M4" s="1722" t="s">
        <v>2533</v>
      </c>
      <c r="N4" s="1722" t="s">
        <v>2534</v>
      </c>
      <c r="O4" s="1722" t="s">
        <v>494</v>
      </c>
      <c r="P4" s="2287"/>
      <c r="Q4" s="2183"/>
      <c r="R4" s="2183"/>
      <c r="S4" s="2282"/>
      <c r="T4" s="2198"/>
      <c r="U4" s="2198"/>
      <c r="V4" s="1722" t="s">
        <v>2162</v>
      </c>
      <c r="W4" s="1722" t="s">
        <v>1333</v>
      </c>
      <c r="X4" s="1722" t="s">
        <v>270</v>
      </c>
      <c r="Y4" s="1722" t="s">
        <v>2527</v>
      </c>
      <c r="Z4" s="1722" t="s">
        <v>271</v>
      </c>
      <c r="AA4" s="1722" t="s">
        <v>494</v>
      </c>
      <c r="AB4" s="1722" t="s">
        <v>2529</v>
      </c>
      <c r="AC4" s="1722" t="s">
        <v>2530</v>
      </c>
      <c r="AD4" s="1722" t="s">
        <v>2531</v>
      </c>
      <c r="AE4" s="1722" t="s">
        <v>2168</v>
      </c>
      <c r="AF4" s="1722" t="s">
        <v>2532</v>
      </c>
      <c r="AG4" s="1722" t="s">
        <v>2533</v>
      </c>
      <c r="AH4" s="1722" t="s">
        <v>2534</v>
      </c>
      <c r="AI4" s="1722" t="s">
        <v>494</v>
      </c>
      <c r="AJ4" s="2287"/>
      <c r="AK4" s="2183"/>
      <c r="AL4" s="2183"/>
      <c r="AM4" s="2282"/>
      <c r="AN4" s="2198"/>
    </row>
    <row r="5" spans="1:40" s="49" customFormat="1" ht="11.25" customHeight="1">
      <c r="A5" s="2183"/>
      <c r="B5" s="1681">
        <v>1</v>
      </c>
      <c r="C5" s="1681">
        <v>2</v>
      </c>
      <c r="D5" s="1681">
        <v>3</v>
      </c>
      <c r="E5" s="1681">
        <v>4</v>
      </c>
      <c r="F5" s="1681">
        <v>5</v>
      </c>
      <c r="G5" s="1681" t="s">
        <v>2538</v>
      </c>
      <c r="H5" s="1681">
        <v>7</v>
      </c>
      <c r="I5" s="1681">
        <v>8</v>
      </c>
      <c r="J5" s="1681">
        <v>9</v>
      </c>
      <c r="K5" s="1681">
        <v>10</v>
      </c>
      <c r="L5" s="1681">
        <v>11</v>
      </c>
      <c r="M5" s="1681">
        <v>12</v>
      </c>
      <c r="N5" s="1681">
        <v>13</v>
      </c>
      <c r="O5" s="1681" t="s">
        <v>2539</v>
      </c>
      <c r="P5" s="1681" t="s">
        <v>2540</v>
      </c>
      <c r="Q5" s="1681">
        <v>16</v>
      </c>
      <c r="R5" s="1681" t="s">
        <v>2541</v>
      </c>
      <c r="S5" s="1683">
        <v>18</v>
      </c>
      <c r="T5" s="2183"/>
      <c r="U5" s="2183"/>
      <c r="V5" s="1681">
        <v>19</v>
      </c>
      <c r="W5" s="1681">
        <v>20</v>
      </c>
      <c r="X5" s="1681">
        <v>21</v>
      </c>
      <c r="Y5" s="1681">
        <v>22</v>
      </c>
      <c r="Z5" s="1681">
        <v>23</v>
      </c>
      <c r="AA5" s="1681" t="s">
        <v>2542</v>
      </c>
      <c r="AB5" s="1681">
        <v>25</v>
      </c>
      <c r="AC5" s="1681">
        <v>26</v>
      </c>
      <c r="AD5" s="1681">
        <v>27</v>
      </c>
      <c r="AE5" s="1681">
        <v>28</v>
      </c>
      <c r="AF5" s="1681">
        <v>29</v>
      </c>
      <c r="AG5" s="637">
        <v>6</v>
      </c>
      <c r="AH5" s="637">
        <v>31</v>
      </c>
      <c r="AI5" s="1700" t="s">
        <v>2543</v>
      </c>
      <c r="AJ5" s="1681" t="s">
        <v>2544</v>
      </c>
      <c r="AK5" s="637">
        <v>34</v>
      </c>
      <c r="AL5" s="637" t="s">
        <v>2545</v>
      </c>
      <c r="AM5" s="637">
        <v>36</v>
      </c>
      <c r="AN5" s="2183"/>
    </row>
    <row r="6" spans="1:40" s="1179" customFormat="1" ht="12.75" customHeight="1">
      <c r="A6" s="2274" t="s">
        <v>2179</v>
      </c>
      <c r="B6" s="2274"/>
      <c r="C6" s="2274"/>
      <c r="D6" s="1178"/>
      <c r="E6" s="1178"/>
      <c r="F6" s="1178"/>
      <c r="G6" s="1178"/>
      <c r="H6" s="1178"/>
      <c r="I6" s="1178"/>
      <c r="J6" s="1178"/>
      <c r="K6" s="1178"/>
      <c r="L6" s="1178"/>
      <c r="M6" s="1178"/>
      <c r="N6" s="1178"/>
      <c r="O6" s="1178"/>
      <c r="P6" s="1178"/>
      <c r="Q6" s="1178"/>
      <c r="R6" s="1178"/>
      <c r="S6" s="1682"/>
      <c r="T6" s="224"/>
      <c r="U6" s="2274" t="s">
        <v>2180</v>
      </c>
      <c r="V6" s="2274"/>
      <c r="W6" s="2274"/>
      <c r="X6" s="1178"/>
      <c r="Y6" s="1178"/>
      <c r="Z6" s="1178"/>
      <c r="AA6" s="1178"/>
      <c r="AB6" s="1178"/>
      <c r="AC6" s="1178"/>
      <c r="AD6" s="1178"/>
      <c r="AE6" s="1178"/>
      <c r="AF6" s="1178"/>
      <c r="AG6" s="1178"/>
      <c r="AH6" s="1178"/>
      <c r="AI6" s="1178"/>
      <c r="AJ6" s="1178"/>
      <c r="AK6" s="1178"/>
      <c r="AL6" s="1178"/>
      <c r="AM6" s="1682"/>
      <c r="AN6" s="224"/>
    </row>
    <row r="7" spans="1:40" ht="12.75" customHeight="1">
      <c r="A7" s="1721" t="s">
        <v>1231</v>
      </c>
      <c r="B7" s="311">
        <f>B8+B9+B11+B10</f>
        <v>279505</v>
      </c>
      <c r="C7" s="311">
        <f>C8+C9+C11+C10</f>
        <v>33052</v>
      </c>
      <c r="D7" s="311">
        <f>D8+D9+D11+D10</f>
        <v>422387</v>
      </c>
      <c r="E7" s="311">
        <f>E8+E9+E11+E10</f>
        <v>26658</v>
      </c>
      <c r="F7" s="311">
        <f>F8+F9+F11+F10</f>
        <v>162843</v>
      </c>
      <c r="G7" s="311">
        <f>C7+D7+E7+F7</f>
        <v>644940</v>
      </c>
      <c r="H7" s="311">
        <f t="shared" ref="H7:N7" si="0">H8+H9+H10+H11</f>
        <v>288510</v>
      </c>
      <c r="I7" s="311">
        <f t="shared" si="0"/>
        <v>182863</v>
      </c>
      <c r="J7" s="311">
        <f t="shared" si="0"/>
        <v>23886</v>
      </c>
      <c r="K7" s="311">
        <f t="shared" si="0"/>
        <v>65072</v>
      </c>
      <c r="L7" s="311">
        <f t="shared" si="0"/>
        <v>210659</v>
      </c>
      <c r="M7" s="311">
        <f t="shared" si="0"/>
        <v>175809</v>
      </c>
      <c r="N7" s="311">
        <f t="shared" si="0"/>
        <v>116183</v>
      </c>
      <c r="O7" s="311">
        <f>H7+I7+J7+K7+L7+M7+N7</f>
        <v>1062982</v>
      </c>
      <c r="P7" s="311">
        <f>B7+G7+O7</f>
        <v>1987427</v>
      </c>
      <c r="Q7" s="311">
        <f>Q8+Q9+Q10+Q11</f>
        <v>88394</v>
      </c>
      <c r="R7" s="311">
        <f>P7+Q7</f>
        <v>2075821</v>
      </c>
      <c r="S7" s="310" t="s">
        <v>298</v>
      </c>
      <c r="T7" s="376" t="s">
        <v>1231</v>
      </c>
      <c r="U7" s="1721" t="s">
        <v>1231</v>
      </c>
      <c r="V7" s="311">
        <f>V8+V9+V11+V10</f>
        <v>279505</v>
      </c>
      <c r="W7" s="311">
        <f>W8+W9+W11+W10</f>
        <v>33052</v>
      </c>
      <c r="X7" s="311">
        <f>X8+X9+X11+X10</f>
        <v>422387</v>
      </c>
      <c r="Y7" s="311">
        <f>Y8+Y9+Y11+Y10</f>
        <v>26658</v>
      </c>
      <c r="Z7" s="311">
        <f>Z8+Z9+Z11+Z10</f>
        <v>162843</v>
      </c>
      <c r="AA7" s="311">
        <f>W7+X7+Y7+Z7</f>
        <v>644940</v>
      </c>
      <c r="AB7" s="311">
        <f t="shared" ref="AB7:AH7" si="1">AB8+AB9+AB10+AB11</f>
        <v>288510</v>
      </c>
      <c r="AC7" s="311">
        <f t="shared" si="1"/>
        <v>182863</v>
      </c>
      <c r="AD7" s="311">
        <f t="shared" si="1"/>
        <v>23886</v>
      </c>
      <c r="AE7" s="311">
        <f t="shared" si="1"/>
        <v>65072</v>
      </c>
      <c r="AF7" s="311">
        <f t="shared" si="1"/>
        <v>210659</v>
      </c>
      <c r="AG7" s="311">
        <f t="shared" si="1"/>
        <v>175809</v>
      </c>
      <c r="AH7" s="311">
        <f t="shared" si="1"/>
        <v>116183</v>
      </c>
      <c r="AI7" s="311">
        <f>AB7+AC7+AD7+AE7+AF7+AG7+AH7</f>
        <v>1062982</v>
      </c>
      <c r="AJ7" s="311">
        <f>V7+AA7+AI7</f>
        <v>1987427</v>
      </c>
      <c r="AK7" s="311">
        <f>AK8+AK9+AK10+AK11</f>
        <v>88394</v>
      </c>
      <c r="AL7" s="311">
        <f>AJ7+AK7</f>
        <v>2075821</v>
      </c>
      <c r="AM7" s="310" t="s">
        <v>298</v>
      </c>
      <c r="AN7" s="376" t="s">
        <v>1231</v>
      </c>
    </row>
    <row r="8" spans="1:40" s="170" customFormat="1" ht="12.75" customHeight="1">
      <c r="A8" s="399" t="s">
        <v>2546</v>
      </c>
      <c r="B8" s="397">
        <v>61306</v>
      </c>
      <c r="C8" s="397">
        <v>7167</v>
      </c>
      <c r="D8" s="397">
        <v>97953</v>
      </c>
      <c r="E8" s="397">
        <v>6472</v>
      </c>
      <c r="F8" s="397">
        <v>35105</v>
      </c>
      <c r="G8" s="397">
        <f t="shared" ref="G8:G11" si="2">C8+D8+E8+F8</f>
        <v>146697</v>
      </c>
      <c r="H8" s="397">
        <v>66114</v>
      </c>
      <c r="I8" s="397">
        <v>42071</v>
      </c>
      <c r="J8" s="397">
        <v>5271</v>
      </c>
      <c r="K8" s="397">
        <v>13910</v>
      </c>
      <c r="L8" s="397">
        <v>50442</v>
      </c>
      <c r="M8" s="397">
        <v>40273</v>
      </c>
      <c r="N8" s="397">
        <v>27403</v>
      </c>
      <c r="O8" s="397">
        <f t="shared" ref="O8:O11" si="3">H8+I8+J8+K8+L8+M8+N8</f>
        <v>245484</v>
      </c>
      <c r="P8" s="397">
        <f t="shared" ref="P8:P11" si="4">B8+G8+O8</f>
        <v>453487</v>
      </c>
      <c r="Q8" s="397">
        <v>19159</v>
      </c>
      <c r="R8" s="397">
        <f t="shared" ref="R8:R16" si="5">P8+Q8</f>
        <v>472646</v>
      </c>
      <c r="S8" s="268" t="s">
        <v>298</v>
      </c>
      <c r="T8" s="394" t="s">
        <v>2546</v>
      </c>
      <c r="U8" s="399" t="s">
        <v>2546</v>
      </c>
      <c r="V8" s="397">
        <v>62069</v>
      </c>
      <c r="W8" s="397">
        <v>7326</v>
      </c>
      <c r="X8" s="397">
        <v>99718</v>
      </c>
      <c r="Y8" s="397">
        <v>6787</v>
      </c>
      <c r="Z8" s="397">
        <v>35723</v>
      </c>
      <c r="AA8" s="397">
        <f t="shared" ref="AA8:AA11" si="6">W8+X8+Y8+Z8</f>
        <v>149554</v>
      </c>
      <c r="AB8" s="397">
        <v>66581</v>
      </c>
      <c r="AC8" s="397">
        <v>43888</v>
      </c>
      <c r="AD8" s="397">
        <v>5390</v>
      </c>
      <c r="AE8" s="397">
        <v>14220</v>
      </c>
      <c r="AF8" s="397">
        <v>52070</v>
      </c>
      <c r="AG8" s="397">
        <v>41396</v>
      </c>
      <c r="AH8" s="397">
        <v>27717</v>
      </c>
      <c r="AI8" s="397">
        <f t="shared" ref="AI8:AI11" si="7">AB8+AC8+AD8+AE8+AF8+AG8+AH8</f>
        <v>251262</v>
      </c>
      <c r="AJ8" s="397">
        <f t="shared" ref="AJ8:AJ11" si="8">V8+AA8+AI8</f>
        <v>462885</v>
      </c>
      <c r="AK8" s="397">
        <v>21443</v>
      </c>
      <c r="AL8" s="397">
        <f t="shared" ref="AL8:AL16" si="9">AJ8+AK8</f>
        <v>484328</v>
      </c>
      <c r="AM8" s="268" t="s">
        <v>298</v>
      </c>
      <c r="AN8" s="394" t="s">
        <v>2546</v>
      </c>
    </row>
    <row r="9" spans="1:40" ht="12.75" customHeight="1">
      <c r="A9" s="413" t="s">
        <v>2547</v>
      </c>
      <c r="B9" s="311">
        <v>74816</v>
      </c>
      <c r="C9" s="311">
        <v>7783</v>
      </c>
      <c r="D9" s="311">
        <v>100246</v>
      </c>
      <c r="E9" s="311">
        <v>5977</v>
      </c>
      <c r="F9" s="311">
        <v>37499</v>
      </c>
      <c r="G9" s="311">
        <f t="shared" si="2"/>
        <v>151505</v>
      </c>
      <c r="H9" s="311">
        <v>70216</v>
      </c>
      <c r="I9" s="311">
        <v>45425</v>
      </c>
      <c r="J9" s="311">
        <v>5810</v>
      </c>
      <c r="K9" s="311">
        <v>15527</v>
      </c>
      <c r="L9" s="311">
        <v>51409</v>
      </c>
      <c r="M9" s="311">
        <v>30428</v>
      </c>
      <c r="N9" s="311">
        <v>28590</v>
      </c>
      <c r="O9" s="311">
        <f t="shared" si="3"/>
        <v>247405</v>
      </c>
      <c r="P9" s="311">
        <f t="shared" si="4"/>
        <v>473726</v>
      </c>
      <c r="Q9" s="311">
        <v>23389</v>
      </c>
      <c r="R9" s="311">
        <f t="shared" si="5"/>
        <v>497115</v>
      </c>
      <c r="S9" s="310" t="s">
        <v>298</v>
      </c>
      <c r="T9" s="370" t="s">
        <v>2547</v>
      </c>
      <c r="U9" s="413" t="s">
        <v>2547</v>
      </c>
      <c r="V9" s="311">
        <v>74242</v>
      </c>
      <c r="W9" s="311">
        <v>7821</v>
      </c>
      <c r="X9" s="311">
        <v>102307</v>
      </c>
      <c r="Y9" s="311">
        <v>6175</v>
      </c>
      <c r="Z9" s="311">
        <v>38262</v>
      </c>
      <c r="AA9" s="311">
        <f t="shared" si="6"/>
        <v>154565</v>
      </c>
      <c r="AB9" s="311">
        <v>70334</v>
      </c>
      <c r="AC9" s="311">
        <v>45439</v>
      </c>
      <c r="AD9" s="311">
        <v>5818</v>
      </c>
      <c r="AE9" s="311">
        <v>15548</v>
      </c>
      <c r="AF9" s="311">
        <v>52030</v>
      </c>
      <c r="AG9" s="311">
        <v>30558</v>
      </c>
      <c r="AH9" s="311">
        <v>28772</v>
      </c>
      <c r="AI9" s="311">
        <f t="shared" si="7"/>
        <v>248499</v>
      </c>
      <c r="AJ9" s="311">
        <f t="shared" si="8"/>
        <v>477306</v>
      </c>
      <c r="AK9" s="311">
        <v>22177</v>
      </c>
      <c r="AL9" s="311">
        <f t="shared" si="9"/>
        <v>499483</v>
      </c>
      <c r="AM9" s="310" t="s">
        <v>298</v>
      </c>
      <c r="AN9" s="370" t="s">
        <v>2547</v>
      </c>
    </row>
    <row r="10" spans="1:40" s="170" customFormat="1" ht="12.75" customHeight="1">
      <c r="A10" s="399" t="s">
        <v>2548</v>
      </c>
      <c r="B10" s="397">
        <v>59703</v>
      </c>
      <c r="C10" s="397">
        <v>9223</v>
      </c>
      <c r="D10" s="397">
        <v>109439</v>
      </c>
      <c r="E10" s="397">
        <v>6571</v>
      </c>
      <c r="F10" s="397">
        <v>48054</v>
      </c>
      <c r="G10" s="397">
        <f t="shared" si="2"/>
        <v>173287</v>
      </c>
      <c r="H10" s="397">
        <v>72203</v>
      </c>
      <c r="I10" s="397">
        <v>47097</v>
      </c>
      <c r="J10" s="397">
        <v>6461</v>
      </c>
      <c r="K10" s="397">
        <v>17378</v>
      </c>
      <c r="L10" s="397">
        <v>54408</v>
      </c>
      <c r="M10" s="397">
        <v>42456</v>
      </c>
      <c r="N10" s="397">
        <v>29924</v>
      </c>
      <c r="O10" s="397">
        <f t="shared" si="3"/>
        <v>269927</v>
      </c>
      <c r="P10" s="397">
        <f t="shared" si="4"/>
        <v>502917</v>
      </c>
      <c r="Q10" s="397">
        <v>22244</v>
      </c>
      <c r="R10" s="397">
        <f t="shared" si="5"/>
        <v>525161</v>
      </c>
      <c r="S10" s="268" t="s">
        <v>298</v>
      </c>
      <c r="T10" s="394" t="s">
        <v>2548</v>
      </c>
      <c r="U10" s="399" t="s">
        <v>2548</v>
      </c>
      <c r="V10" s="397">
        <v>59165</v>
      </c>
      <c r="W10" s="397">
        <v>9116</v>
      </c>
      <c r="X10" s="397">
        <v>107845</v>
      </c>
      <c r="Y10" s="397">
        <v>6374</v>
      </c>
      <c r="Z10" s="397">
        <v>47666</v>
      </c>
      <c r="AA10" s="397">
        <f t="shared" si="6"/>
        <v>171001</v>
      </c>
      <c r="AB10" s="397">
        <v>71876</v>
      </c>
      <c r="AC10" s="397">
        <v>46194</v>
      </c>
      <c r="AD10" s="397">
        <v>6378</v>
      </c>
      <c r="AE10" s="397">
        <v>17159</v>
      </c>
      <c r="AF10" s="397">
        <v>53409</v>
      </c>
      <c r="AG10" s="397">
        <v>41995</v>
      </c>
      <c r="AH10" s="397">
        <v>29773</v>
      </c>
      <c r="AI10" s="397">
        <f t="shared" si="7"/>
        <v>266784</v>
      </c>
      <c r="AJ10" s="397">
        <f t="shared" si="8"/>
        <v>496950</v>
      </c>
      <c r="AK10" s="397">
        <v>23161</v>
      </c>
      <c r="AL10" s="397">
        <f t="shared" si="9"/>
        <v>520111</v>
      </c>
      <c r="AM10" s="268" t="s">
        <v>298</v>
      </c>
      <c r="AN10" s="394" t="s">
        <v>2548</v>
      </c>
    </row>
    <row r="11" spans="1:40" ht="12.75" customHeight="1">
      <c r="A11" s="413" t="s">
        <v>2549</v>
      </c>
      <c r="B11" s="311">
        <v>83680</v>
      </c>
      <c r="C11" s="311">
        <v>8879</v>
      </c>
      <c r="D11" s="311">
        <v>114749</v>
      </c>
      <c r="E11" s="311">
        <v>7638</v>
      </c>
      <c r="F11" s="311">
        <v>42185</v>
      </c>
      <c r="G11" s="311">
        <f t="shared" si="2"/>
        <v>173451</v>
      </c>
      <c r="H11" s="311">
        <v>79977</v>
      </c>
      <c r="I11" s="311">
        <v>48270</v>
      </c>
      <c r="J11" s="311">
        <v>6344</v>
      </c>
      <c r="K11" s="311">
        <v>18257</v>
      </c>
      <c r="L11" s="311">
        <v>54400</v>
      </c>
      <c r="M11" s="311">
        <v>62652</v>
      </c>
      <c r="N11" s="311">
        <v>30266</v>
      </c>
      <c r="O11" s="311">
        <f t="shared" si="3"/>
        <v>300166</v>
      </c>
      <c r="P11" s="311">
        <f t="shared" si="4"/>
        <v>557297</v>
      </c>
      <c r="Q11" s="311">
        <v>23602</v>
      </c>
      <c r="R11" s="311">
        <f t="shared" si="5"/>
        <v>580899</v>
      </c>
      <c r="S11" s="310" t="s">
        <v>298</v>
      </c>
      <c r="T11" s="370" t="s">
        <v>2549</v>
      </c>
      <c r="U11" s="413" t="s">
        <v>2549</v>
      </c>
      <c r="V11" s="311">
        <v>84029</v>
      </c>
      <c r="W11" s="311">
        <v>8789</v>
      </c>
      <c r="X11" s="311">
        <v>112517</v>
      </c>
      <c r="Y11" s="311">
        <v>7322</v>
      </c>
      <c r="Z11" s="311">
        <v>41192</v>
      </c>
      <c r="AA11" s="311">
        <f t="shared" si="6"/>
        <v>169820</v>
      </c>
      <c r="AB11" s="311">
        <v>79719</v>
      </c>
      <c r="AC11" s="311">
        <v>47342</v>
      </c>
      <c r="AD11" s="311">
        <v>6300</v>
      </c>
      <c r="AE11" s="311">
        <v>18145</v>
      </c>
      <c r="AF11" s="311">
        <v>53150</v>
      </c>
      <c r="AG11" s="311">
        <v>61860</v>
      </c>
      <c r="AH11" s="311">
        <v>29921</v>
      </c>
      <c r="AI11" s="311">
        <f t="shared" si="7"/>
        <v>296437</v>
      </c>
      <c r="AJ11" s="311">
        <f t="shared" si="8"/>
        <v>550286</v>
      </c>
      <c r="AK11" s="311">
        <v>21613</v>
      </c>
      <c r="AL11" s="311">
        <f t="shared" si="9"/>
        <v>571899</v>
      </c>
      <c r="AM11" s="310" t="s">
        <v>298</v>
      </c>
      <c r="AN11" s="370" t="s">
        <v>2549</v>
      </c>
    </row>
    <row r="12" spans="1:40" s="170" customFormat="1" ht="12.75" customHeight="1">
      <c r="A12" s="936" t="s">
        <v>1263</v>
      </c>
      <c r="B12" s="397">
        <f>B13+B14+B15+B16</f>
        <v>301167</v>
      </c>
      <c r="C12" s="397">
        <f>C13+C14+C15+C16</f>
        <v>39984</v>
      </c>
      <c r="D12" s="397">
        <f>D13+D14+D15+D16</f>
        <v>466606</v>
      </c>
      <c r="E12" s="397">
        <f>E13+E14+E15+E16</f>
        <v>31497</v>
      </c>
      <c r="F12" s="397">
        <f>F13+F14+F15+F16</f>
        <v>188219</v>
      </c>
      <c r="G12" s="397">
        <f>C12+F12+E12+D12</f>
        <v>726306</v>
      </c>
      <c r="H12" s="397">
        <f t="shared" ref="H12:N12" si="10">H13+H14+H15+H16</f>
        <v>324632</v>
      </c>
      <c r="I12" s="397">
        <f t="shared" si="10"/>
        <v>205985</v>
      </c>
      <c r="J12" s="397">
        <f t="shared" si="10"/>
        <v>26671</v>
      </c>
      <c r="K12" s="397">
        <f t="shared" si="10"/>
        <v>72247</v>
      </c>
      <c r="L12" s="397">
        <f t="shared" si="10"/>
        <v>234155</v>
      </c>
      <c r="M12" s="397">
        <f t="shared" si="10"/>
        <v>202836</v>
      </c>
      <c r="N12" s="397">
        <f t="shared" si="10"/>
        <v>127794</v>
      </c>
      <c r="O12" s="397">
        <f>N12+M12+L12+K12+J12+I12+H12</f>
        <v>1194320</v>
      </c>
      <c r="P12" s="397">
        <f>O12+G12+B12</f>
        <v>2221793</v>
      </c>
      <c r="Q12" s="397">
        <f>Q13+Q14+Q15+Q16</f>
        <v>102514</v>
      </c>
      <c r="R12" s="397">
        <f t="shared" si="5"/>
        <v>2324307</v>
      </c>
      <c r="S12" s="268">
        <v>11.97</v>
      </c>
      <c r="T12" s="377" t="s">
        <v>1263</v>
      </c>
      <c r="U12" s="936" t="s">
        <v>1263</v>
      </c>
      <c r="V12" s="397">
        <f>V13+V14+V15+V16</f>
        <v>288438</v>
      </c>
      <c r="W12" s="397">
        <f>W13+W14+W15+W16</f>
        <v>38766</v>
      </c>
      <c r="X12" s="397">
        <f>X13+X14+X15+X16</f>
        <v>452319</v>
      </c>
      <c r="Y12" s="397">
        <f>Y13+Y14+Y15+Y16</f>
        <v>28471</v>
      </c>
      <c r="Z12" s="397">
        <f>Z13+Z14+Z15+Z16</f>
        <v>178733</v>
      </c>
      <c r="AA12" s="397">
        <f>W12+Z12+Y12+X12</f>
        <v>698289</v>
      </c>
      <c r="AB12" s="397">
        <f t="shared" ref="AB12:AH12" si="11">AB13+AB14+AB15+AB16</f>
        <v>312225</v>
      </c>
      <c r="AC12" s="397">
        <f t="shared" si="11"/>
        <v>194617</v>
      </c>
      <c r="AD12" s="397">
        <f t="shared" si="11"/>
        <v>25174</v>
      </c>
      <c r="AE12" s="397">
        <f t="shared" si="11"/>
        <v>68523</v>
      </c>
      <c r="AF12" s="397">
        <f t="shared" si="11"/>
        <v>218137</v>
      </c>
      <c r="AG12" s="397">
        <f t="shared" si="11"/>
        <v>192185</v>
      </c>
      <c r="AH12" s="397">
        <f t="shared" si="11"/>
        <v>119888</v>
      </c>
      <c r="AI12" s="397">
        <f>AH12+AG12+AF12+AE12+AD12+AC12+AB12</f>
        <v>1130749</v>
      </c>
      <c r="AJ12" s="397">
        <f>AI12+AA12+V12</f>
        <v>2117476</v>
      </c>
      <c r="AK12" s="397">
        <f>AK13+AK14+AK15+AK16</f>
        <v>95147</v>
      </c>
      <c r="AL12" s="397">
        <f t="shared" si="9"/>
        <v>2212623</v>
      </c>
      <c r="AM12" s="268">
        <v>6.59</v>
      </c>
      <c r="AN12" s="377" t="s">
        <v>1263</v>
      </c>
    </row>
    <row r="13" spans="1:40" ht="12.75" customHeight="1">
      <c r="A13" s="413" t="s">
        <v>2546</v>
      </c>
      <c r="B13" s="311">
        <v>66937</v>
      </c>
      <c r="C13" s="311">
        <v>8493</v>
      </c>
      <c r="D13" s="311">
        <v>107224</v>
      </c>
      <c r="E13" s="311">
        <v>8057</v>
      </c>
      <c r="F13" s="311">
        <v>40902</v>
      </c>
      <c r="G13" s="311">
        <f t="shared" ref="G13:G16" si="12">C13+F13+E13+D13</f>
        <v>164676</v>
      </c>
      <c r="H13" s="311">
        <v>69070</v>
      </c>
      <c r="I13" s="311">
        <v>49266</v>
      </c>
      <c r="J13" s="311">
        <v>5967</v>
      </c>
      <c r="K13" s="311">
        <v>16863</v>
      </c>
      <c r="L13" s="311">
        <v>55865</v>
      </c>
      <c r="M13" s="311">
        <v>44471</v>
      </c>
      <c r="N13" s="311">
        <v>28673</v>
      </c>
      <c r="O13" s="311">
        <f t="shared" ref="O13:O16" si="13">N13+M13+L13+K13+J13+I13+H13</f>
        <v>270175</v>
      </c>
      <c r="P13" s="311">
        <f t="shared" ref="P13:P16" si="14">O13+G13+B13</f>
        <v>501788</v>
      </c>
      <c r="Q13" s="311">
        <v>22526</v>
      </c>
      <c r="R13" s="311">
        <f t="shared" si="5"/>
        <v>524314</v>
      </c>
      <c r="S13" s="310">
        <v>10.93</v>
      </c>
      <c r="T13" s="370" t="s">
        <v>2546</v>
      </c>
      <c r="U13" s="413" t="s">
        <v>2546</v>
      </c>
      <c r="V13" s="311">
        <v>65433</v>
      </c>
      <c r="W13" s="311">
        <v>8287</v>
      </c>
      <c r="X13" s="311">
        <v>105828</v>
      </c>
      <c r="Y13" s="311">
        <v>7532</v>
      </c>
      <c r="Z13" s="311">
        <v>39421</v>
      </c>
      <c r="AA13" s="311">
        <f t="shared" ref="AA13:AA16" si="15">W13+Z13+Y13+X13</f>
        <v>161068</v>
      </c>
      <c r="AB13" s="311">
        <v>68553</v>
      </c>
      <c r="AC13" s="311">
        <v>47215</v>
      </c>
      <c r="AD13" s="311">
        <v>5776</v>
      </c>
      <c r="AE13" s="311">
        <v>16345</v>
      </c>
      <c r="AF13" s="311">
        <v>53588</v>
      </c>
      <c r="AG13" s="311">
        <v>43201</v>
      </c>
      <c r="AH13" s="311">
        <v>28015</v>
      </c>
      <c r="AI13" s="311">
        <f t="shared" ref="AI13:AI16" si="16">AH13+AG13+AF13+AE13+AD13+AC13+AB13</f>
        <v>262693</v>
      </c>
      <c r="AJ13" s="311">
        <f t="shared" ref="AJ13:AJ16" si="17">AI13+AA13+V13</f>
        <v>489194</v>
      </c>
      <c r="AK13" s="311">
        <v>23362</v>
      </c>
      <c r="AL13" s="311">
        <f t="shared" si="9"/>
        <v>512556</v>
      </c>
      <c r="AM13" s="310">
        <v>5.83</v>
      </c>
      <c r="AN13" s="370" t="s">
        <v>2546</v>
      </c>
    </row>
    <row r="14" spans="1:40" s="170" customFormat="1" ht="12.75" customHeight="1">
      <c r="A14" s="399" t="s">
        <v>2547</v>
      </c>
      <c r="B14" s="397">
        <v>81187</v>
      </c>
      <c r="C14" s="397">
        <v>9822</v>
      </c>
      <c r="D14" s="397">
        <v>111958</v>
      </c>
      <c r="E14" s="397">
        <v>7361</v>
      </c>
      <c r="F14" s="397">
        <v>44227</v>
      </c>
      <c r="G14" s="397">
        <f t="shared" si="12"/>
        <v>173368</v>
      </c>
      <c r="H14" s="397">
        <v>80204</v>
      </c>
      <c r="I14" s="397">
        <v>50937</v>
      </c>
      <c r="J14" s="397">
        <v>6647</v>
      </c>
      <c r="K14" s="397">
        <v>17293</v>
      </c>
      <c r="L14" s="397">
        <v>56936</v>
      </c>
      <c r="M14" s="397">
        <v>45806</v>
      </c>
      <c r="N14" s="397">
        <v>29749</v>
      </c>
      <c r="O14" s="397">
        <f t="shared" si="13"/>
        <v>287572</v>
      </c>
      <c r="P14" s="397">
        <f t="shared" si="14"/>
        <v>542127</v>
      </c>
      <c r="Q14" s="397">
        <v>26337</v>
      </c>
      <c r="R14" s="397">
        <f t="shared" si="5"/>
        <v>568464</v>
      </c>
      <c r="S14" s="268">
        <v>14.35</v>
      </c>
      <c r="T14" s="394" t="s">
        <v>2547</v>
      </c>
      <c r="U14" s="399" t="s">
        <v>2547</v>
      </c>
      <c r="V14" s="397">
        <v>77487</v>
      </c>
      <c r="W14" s="397">
        <v>9503</v>
      </c>
      <c r="X14" s="397">
        <v>110767</v>
      </c>
      <c r="Y14" s="397">
        <v>6778</v>
      </c>
      <c r="Z14" s="397">
        <v>42675</v>
      </c>
      <c r="AA14" s="397">
        <f t="shared" si="15"/>
        <v>169723</v>
      </c>
      <c r="AB14" s="397">
        <v>79350</v>
      </c>
      <c r="AC14" s="397">
        <v>48367</v>
      </c>
      <c r="AD14" s="397">
        <v>6298</v>
      </c>
      <c r="AE14" s="397">
        <v>16430</v>
      </c>
      <c r="AF14" s="397">
        <v>53881</v>
      </c>
      <c r="AG14" s="397">
        <v>43526</v>
      </c>
      <c r="AH14" s="397">
        <v>28829</v>
      </c>
      <c r="AI14" s="397">
        <f t="shared" si="16"/>
        <v>276681</v>
      </c>
      <c r="AJ14" s="397">
        <f t="shared" si="17"/>
        <v>523891</v>
      </c>
      <c r="AK14" s="397">
        <v>23864</v>
      </c>
      <c r="AL14" s="397">
        <f t="shared" si="9"/>
        <v>547755</v>
      </c>
      <c r="AM14" s="268">
        <v>9.66</v>
      </c>
      <c r="AN14" s="394" t="s">
        <v>2547</v>
      </c>
    </row>
    <row r="15" spans="1:40" ht="12.75" customHeight="1">
      <c r="A15" s="413" t="s">
        <v>2548</v>
      </c>
      <c r="B15" s="311">
        <v>65912</v>
      </c>
      <c r="C15" s="311">
        <v>10953</v>
      </c>
      <c r="D15" s="311">
        <v>121408</v>
      </c>
      <c r="E15" s="311">
        <v>7394</v>
      </c>
      <c r="F15" s="311">
        <v>51243</v>
      </c>
      <c r="G15" s="311">
        <f t="shared" si="12"/>
        <v>190998</v>
      </c>
      <c r="H15" s="311">
        <v>87770</v>
      </c>
      <c r="I15" s="311">
        <v>52453</v>
      </c>
      <c r="J15" s="311">
        <v>7267</v>
      </c>
      <c r="K15" s="311">
        <v>18341</v>
      </c>
      <c r="L15" s="311">
        <v>60741</v>
      </c>
      <c r="M15" s="311">
        <v>47762</v>
      </c>
      <c r="N15" s="311">
        <v>34201</v>
      </c>
      <c r="O15" s="311">
        <f t="shared" si="13"/>
        <v>308535</v>
      </c>
      <c r="P15" s="311">
        <f t="shared" si="14"/>
        <v>565445</v>
      </c>
      <c r="Q15" s="311">
        <v>27996</v>
      </c>
      <c r="R15" s="311">
        <f t="shared" si="5"/>
        <v>593441</v>
      </c>
      <c r="S15" s="310">
        <v>13</v>
      </c>
      <c r="T15" s="370" t="s">
        <v>2548</v>
      </c>
      <c r="U15" s="413" t="s">
        <v>2548</v>
      </c>
      <c r="V15" s="311">
        <v>62503</v>
      </c>
      <c r="W15" s="311">
        <v>10567</v>
      </c>
      <c r="X15" s="311">
        <v>115967</v>
      </c>
      <c r="Y15" s="311">
        <v>6522</v>
      </c>
      <c r="Z15" s="311">
        <v>48305</v>
      </c>
      <c r="AA15" s="311">
        <f t="shared" si="15"/>
        <v>181361</v>
      </c>
      <c r="AB15" s="311">
        <v>82500</v>
      </c>
      <c r="AC15" s="311">
        <v>49159</v>
      </c>
      <c r="AD15" s="311">
        <v>6776</v>
      </c>
      <c r="AE15" s="311">
        <v>17190</v>
      </c>
      <c r="AF15" s="311">
        <v>55506</v>
      </c>
      <c r="AG15" s="311">
        <v>44717</v>
      </c>
      <c r="AH15" s="311">
        <v>31202</v>
      </c>
      <c r="AI15" s="311">
        <f t="shared" si="16"/>
        <v>287050</v>
      </c>
      <c r="AJ15" s="311">
        <f t="shared" si="17"/>
        <v>530914</v>
      </c>
      <c r="AK15" s="311">
        <v>24945</v>
      </c>
      <c r="AL15" s="311">
        <f t="shared" si="9"/>
        <v>555859</v>
      </c>
      <c r="AM15" s="310">
        <v>6.88</v>
      </c>
      <c r="AN15" s="370" t="s">
        <v>2548</v>
      </c>
    </row>
    <row r="16" spans="1:40" s="170" customFormat="1" ht="12.75" customHeight="1">
      <c r="A16" s="399" t="s">
        <v>2549</v>
      </c>
      <c r="B16" s="397">
        <v>87131</v>
      </c>
      <c r="C16" s="397">
        <v>10716</v>
      </c>
      <c r="D16" s="397">
        <v>126016</v>
      </c>
      <c r="E16" s="397">
        <v>8685</v>
      </c>
      <c r="F16" s="397">
        <v>51847</v>
      </c>
      <c r="G16" s="397">
        <f t="shared" si="12"/>
        <v>197264</v>
      </c>
      <c r="H16" s="397">
        <v>87588</v>
      </c>
      <c r="I16" s="397">
        <v>53329</v>
      </c>
      <c r="J16" s="397">
        <v>6790</v>
      </c>
      <c r="K16" s="397">
        <v>19750</v>
      </c>
      <c r="L16" s="397">
        <v>60613</v>
      </c>
      <c r="M16" s="397">
        <v>64797</v>
      </c>
      <c r="N16" s="397">
        <v>35171</v>
      </c>
      <c r="O16" s="397">
        <f t="shared" si="13"/>
        <v>328038</v>
      </c>
      <c r="P16" s="397">
        <f t="shared" si="14"/>
        <v>612433</v>
      </c>
      <c r="Q16" s="397">
        <v>25655</v>
      </c>
      <c r="R16" s="397">
        <f t="shared" si="5"/>
        <v>638088</v>
      </c>
      <c r="S16" s="268">
        <v>9.84</v>
      </c>
      <c r="T16" s="394" t="s">
        <v>2549</v>
      </c>
      <c r="U16" s="399" t="s">
        <v>2549</v>
      </c>
      <c r="V16" s="397">
        <v>83015</v>
      </c>
      <c r="W16" s="397">
        <v>10409</v>
      </c>
      <c r="X16" s="397">
        <v>119757</v>
      </c>
      <c r="Y16" s="397">
        <v>7639</v>
      </c>
      <c r="Z16" s="397">
        <v>48332</v>
      </c>
      <c r="AA16" s="397">
        <f t="shared" si="15"/>
        <v>186137</v>
      </c>
      <c r="AB16" s="397">
        <v>81822</v>
      </c>
      <c r="AC16" s="397">
        <v>49876</v>
      </c>
      <c r="AD16" s="397">
        <v>6324</v>
      </c>
      <c r="AE16" s="397">
        <v>18558</v>
      </c>
      <c r="AF16" s="397">
        <v>55162</v>
      </c>
      <c r="AG16" s="397">
        <v>60741</v>
      </c>
      <c r="AH16" s="397">
        <v>31842</v>
      </c>
      <c r="AI16" s="397">
        <f t="shared" si="16"/>
        <v>304325</v>
      </c>
      <c r="AJ16" s="397">
        <f t="shared" si="17"/>
        <v>573477</v>
      </c>
      <c r="AK16" s="397">
        <v>22976</v>
      </c>
      <c r="AL16" s="397">
        <f t="shared" si="9"/>
        <v>596453</v>
      </c>
      <c r="AM16" s="268">
        <v>4.29</v>
      </c>
      <c r="AN16" s="394" t="s">
        <v>2549</v>
      </c>
    </row>
    <row r="17" spans="1:40" ht="12.75" customHeight="1">
      <c r="A17" s="1721" t="s">
        <v>1392</v>
      </c>
      <c r="B17" s="311">
        <f>B18+B19+B20+B21</f>
        <v>329380</v>
      </c>
      <c r="C17" s="311">
        <f>C18+C19+C20+C21</f>
        <v>44276</v>
      </c>
      <c r="D17" s="311">
        <f>D18+D19+D20+D21</f>
        <v>549024</v>
      </c>
      <c r="E17" s="311">
        <f>E18+E19+E20+E21</f>
        <v>35112</v>
      </c>
      <c r="F17" s="311">
        <f>F18+F19+F20+F21</f>
        <v>215693</v>
      </c>
      <c r="G17" s="311">
        <f>C17+F17+E17+D17</f>
        <v>844105</v>
      </c>
      <c r="H17" s="311">
        <f>H18+H19+H20+H21</f>
        <v>373716</v>
      </c>
      <c r="I17" s="311">
        <f>I18+I19+I20+I21</f>
        <v>227267</v>
      </c>
      <c r="J17" s="311">
        <f>J18+J19+J20+J21</f>
        <v>30106</v>
      </c>
      <c r="K17" s="311">
        <f t="shared" ref="K17:N17" si="18">K18+K19+K20+K21</f>
        <v>81724</v>
      </c>
      <c r="L17" s="311">
        <f t="shared" si="18"/>
        <v>257973</v>
      </c>
      <c r="M17" s="311">
        <f t="shared" si="18"/>
        <v>231777</v>
      </c>
      <c r="N17" s="311">
        <f t="shared" si="18"/>
        <v>140555</v>
      </c>
      <c r="O17" s="311">
        <f>N17+M17+L17+K17+J17+I17+H17</f>
        <v>1343118</v>
      </c>
      <c r="P17" s="311">
        <f>O17+G17+B17</f>
        <v>2516603</v>
      </c>
      <c r="Q17" s="311">
        <f>Q18+Q19+Q20+Q21</f>
        <v>122645</v>
      </c>
      <c r="R17" s="311">
        <f>P17+Q17</f>
        <v>2639248</v>
      </c>
      <c r="S17" s="310">
        <v>13.55</v>
      </c>
      <c r="T17" s="376" t="s">
        <v>1392</v>
      </c>
      <c r="U17" s="1721" t="s">
        <v>1392</v>
      </c>
      <c r="V17" s="311">
        <f>V18+V19+V20+V21</f>
        <v>298662</v>
      </c>
      <c r="W17" s="311">
        <f>W18+W19+W20+W21</f>
        <v>42469</v>
      </c>
      <c r="X17" s="311">
        <f>X18+X19+X20+X21</f>
        <v>499598</v>
      </c>
      <c r="Y17" s="311">
        <f>Y18+Y19+Y20+Y21</f>
        <v>30710</v>
      </c>
      <c r="Z17" s="311">
        <f>Z18+Z19+Z20+Z21</f>
        <v>196710</v>
      </c>
      <c r="AA17" s="311">
        <f>W17+Z17+Y17+X17</f>
        <v>769487</v>
      </c>
      <c r="AB17" s="311">
        <f>AB18+AB19+AB20+AB21</f>
        <v>339505</v>
      </c>
      <c r="AC17" s="311">
        <f>AC18+AC19+AC20+AC21</f>
        <v>207738</v>
      </c>
      <c r="AD17" s="311">
        <f>AD18+AD19+AD20+AD21</f>
        <v>26564</v>
      </c>
      <c r="AE17" s="311">
        <f t="shared" ref="AE17:AH17" si="19">AE18+AE19+AE20+AE21</f>
        <v>73278</v>
      </c>
      <c r="AF17" s="311">
        <f t="shared" si="19"/>
        <v>226397</v>
      </c>
      <c r="AG17" s="311">
        <f t="shared" si="19"/>
        <v>207559</v>
      </c>
      <c r="AH17" s="311">
        <f t="shared" si="19"/>
        <v>123811</v>
      </c>
      <c r="AI17" s="311">
        <f>AH17+AG17+AF17+AE17+AD17+AC17+AB17</f>
        <v>1204852</v>
      </c>
      <c r="AJ17" s="311">
        <f>AI17+AA17+V17</f>
        <v>2273001</v>
      </c>
      <c r="AK17" s="311">
        <f>AK18+AK19+AK20+AK21</f>
        <v>101573</v>
      </c>
      <c r="AL17" s="311">
        <f>AJ17+AK17</f>
        <v>2374574</v>
      </c>
      <c r="AM17" s="310">
        <v>7.32</v>
      </c>
      <c r="AN17" s="376" t="s">
        <v>1392</v>
      </c>
    </row>
    <row r="18" spans="1:40" s="170" customFormat="1" ht="12.75" customHeight="1">
      <c r="A18" s="399" t="s">
        <v>2546</v>
      </c>
      <c r="B18" s="397">
        <v>74901</v>
      </c>
      <c r="C18" s="397">
        <v>10168</v>
      </c>
      <c r="D18" s="397">
        <v>126167</v>
      </c>
      <c r="E18" s="397">
        <v>9389</v>
      </c>
      <c r="F18" s="397">
        <v>48475</v>
      </c>
      <c r="G18" s="397">
        <f t="shared" ref="G18:G21" si="20">C18+F18+E18+D18</f>
        <v>194199</v>
      </c>
      <c r="H18" s="397">
        <v>83372</v>
      </c>
      <c r="I18" s="397">
        <v>54442</v>
      </c>
      <c r="J18" s="397">
        <v>7245</v>
      </c>
      <c r="K18" s="397">
        <v>18849</v>
      </c>
      <c r="L18" s="397">
        <v>61279</v>
      </c>
      <c r="M18" s="397">
        <v>50395</v>
      </c>
      <c r="N18" s="397">
        <v>32432</v>
      </c>
      <c r="O18" s="397">
        <f t="shared" ref="O18:O21" si="21">N18+M18+L18+K18+J18+I18+H18</f>
        <v>308014</v>
      </c>
      <c r="P18" s="397">
        <f t="shared" ref="P18:P21" si="22">O18+G18+B18</f>
        <v>577114</v>
      </c>
      <c r="Q18" s="397">
        <v>28801</v>
      </c>
      <c r="R18" s="397">
        <f t="shared" ref="R18:R21" si="23">P18+Q18</f>
        <v>605915</v>
      </c>
      <c r="S18" s="268">
        <v>15.56</v>
      </c>
      <c r="T18" s="394" t="s">
        <v>2546</v>
      </c>
      <c r="U18" s="399" t="s">
        <v>2546</v>
      </c>
      <c r="V18" s="397">
        <v>69364</v>
      </c>
      <c r="W18" s="397">
        <v>9831</v>
      </c>
      <c r="X18" s="397">
        <v>118338</v>
      </c>
      <c r="Y18" s="397">
        <v>8260</v>
      </c>
      <c r="Z18" s="397">
        <v>44956</v>
      </c>
      <c r="AA18" s="397">
        <f t="shared" ref="AA18:AA21" si="24">W18+Z18+Y18+X18</f>
        <v>181385</v>
      </c>
      <c r="AB18" s="397">
        <v>76877</v>
      </c>
      <c r="AC18" s="397">
        <v>50294</v>
      </c>
      <c r="AD18" s="397">
        <v>6544</v>
      </c>
      <c r="AE18" s="397">
        <v>17254</v>
      </c>
      <c r="AF18" s="397">
        <v>55402</v>
      </c>
      <c r="AG18" s="397">
        <v>46335</v>
      </c>
      <c r="AH18" s="397">
        <v>29121</v>
      </c>
      <c r="AI18" s="397">
        <f t="shared" ref="AI18:AI21" si="25">AH18+AG18+AF18+AE18+AD18+AC18+AB18</f>
        <v>281827</v>
      </c>
      <c r="AJ18" s="397">
        <f t="shared" ref="AJ18:AJ21" si="26">AI18+AA18+V18</f>
        <v>532576</v>
      </c>
      <c r="AK18" s="397">
        <v>25595</v>
      </c>
      <c r="AL18" s="397">
        <f t="shared" ref="AL18:AL21" si="27">AJ18+AK18</f>
        <v>558171</v>
      </c>
      <c r="AM18" s="268">
        <v>8.9</v>
      </c>
      <c r="AN18" s="394" t="s">
        <v>2546</v>
      </c>
    </row>
    <row r="19" spans="1:40" s="170" customFormat="1" ht="12.75" customHeight="1">
      <c r="A19" s="413" t="s">
        <v>2547</v>
      </c>
      <c r="B19" s="311">
        <v>88438</v>
      </c>
      <c r="C19" s="311">
        <v>11026</v>
      </c>
      <c r="D19" s="311">
        <v>138356</v>
      </c>
      <c r="E19" s="311">
        <v>8299</v>
      </c>
      <c r="F19" s="311">
        <v>52572</v>
      </c>
      <c r="G19" s="311">
        <f t="shared" si="20"/>
        <v>210253</v>
      </c>
      <c r="H19" s="311">
        <v>93336</v>
      </c>
      <c r="I19" s="311">
        <v>55870</v>
      </c>
      <c r="J19" s="311">
        <v>8210</v>
      </c>
      <c r="K19" s="311">
        <v>19621</v>
      </c>
      <c r="L19" s="311">
        <v>62667</v>
      </c>
      <c r="M19" s="311">
        <v>49460</v>
      </c>
      <c r="N19" s="311">
        <v>34980</v>
      </c>
      <c r="O19" s="311">
        <f t="shared" si="21"/>
        <v>324144</v>
      </c>
      <c r="P19" s="311">
        <f t="shared" si="22"/>
        <v>622835</v>
      </c>
      <c r="Q19" s="311">
        <v>31456</v>
      </c>
      <c r="R19" s="311">
        <f t="shared" si="23"/>
        <v>654291</v>
      </c>
      <c r="S19" s="310">
        <v>15.1</v>
      </c>
      <c r="T19" s="370" t="s">
        <v>2547</v>
      </c>
      <c r="U19" s="413" t="s">
        <v>2547</v>
      </c>
      <c r="V19" s="311">
        <v>79675</v>
      </c>
      <c r="W19" s="311">
        <v>10641</v>
      </c>
      <c r="X19" s="311">
        <v>125088</v>
      </c>
      <c r="Y19" s="311">
        <v>7281</v>
      </c>
      <c r="Z19" s="311">
        <v>48806</v>
      </c>
      <c r="AA19" s="311">
        <f t="shared" si="24"/>
        <v>191816</v>
      </c>
      <c r="AB19" s="311">
        <v>85095</v>
      </c>
      <c r="AC19" s="311">
        <v>51337</v>
      </c>
      <c r="AD19" s="311">
        <v>7243</v>
      </c>
      <c r="AE19" s="311">
        <v>17600</v>
      </c>
      <c r="AF19" s="311">
        <v>56338</v>
      </c>
      <c r="AG19" s="311">
        <v>44458</v>
      </c>
      <c r="AH19" s="311">
        <v>31072</v>
      </c>
      <c r="AI19" s="311">
        <f t="shared" si="25"/>
        <v>293143</v>
      </c>
      <c r="AJ19" s="311">
        <f t="shared" si="26"/>
        <v>564634</v>
      </c>
      <c r="AK19" s="311">
        <v>26527</v>
      </c>
      <c r="AL19" s="311">
        <f t="shared" si="27"/>
        <v>591161</v>
      </c>
      <c r="AM19" s="310">
        <v>7.92</v>
      </c>
      <c r="AN19" s="370" t="s">
        <v>2547</v>
      </c>
    </row>
    <row r="20" spans="1:40" s="170" customFormat="1" ht="12.75" customHeight="1">
      <c r="A20" s="399" t="s">
        <v>2548</v>
      </c>
      <c r="B20" s="397">
        <v>69323</v>
      </c>
      <c r="C20" s="397">
        <v>11515</v>
      </c>
      <c r="D20" s="397">
        <v>141778</v>
      </c>
      <c r="E20" s="397">
        <v>8281</v>
      </c>
      <c r="F20" s="397">
        <v>56288</v>
      </c>
      <c r="G20" s="397">
        <f t="shared" si="20"/>
        <v>217862</v>
      </c>
      <c r="H20" s="397">
        <v>96008</v>
      </c>
      <c r="I20" s="397">
        <v>57529</v>
      </c>
      <c r="J20" s="397">
        <v>7800</v>
      </c>
      <c r="K20" s="397">
        <v>20831</v>
      </c>
      <c r="L20" s="397">
        <v>67506</v>
      </c>
      <c r="M20" s="397">
        <v>60388</v>
      </c>
      <c r="N20" s="397">
        <v>38073</v>
      </c>
      <c r="O20" s="397">
        <f t="shared" si="21"/>
        <v>348135</v>
      </c>
      <c r="P20" s="397">
        <f t="shared" si="22"/>
        <v>635320</v>
      </c>
      <c r="Q20" s="397">
        <v>31535</v>
      </c>
      <c r="R20" s="397">
        <f t="shared" si="23"/>
        <v>666855</v>
      </c>
      <c r="S20" s="268">
        <v>12.37</v>
      </c>
      <c r="T20" s="394" t="s">
        <v>2548</v>
      </c>
      <c r="U20" s="399" t="s">
        <v>2548</v>
      </c>
      <c r="V20" s="397">
        <v>62143</v>
      </c>
      <c r="W20" s="397">
        <v>11014</v>
      </c>
      <c r="X20" s="397">
        <v>127775</v>
      </c>
      <c r="Y20" s="397">
        <v>7227</v>
      </c>
      <c r="Z20" s="397">
        <v>50839</v>
      </c>
      <c r="AA20" s="397">
        <f t="shared" si="24"/>
        <v>196855</v>
      </c>
      <c r="AB20" s="397">
        <v>86647</v>
      </c>
      <c r="AC20" s="397">
        <v>52514</v>
      </c>
      <c r="AD20" s="397">
        <v>6790</v>
      </c>
      <c r="AE20" s="397">
        <v>18464</v>
      </c>
      <c r="AF20" s="397">
        <v>57882</v>
      </c>
      <c r="AG20" s="397">
        <v>53486</v>
      </c>
      <c r="AH20" s="397">
        <v>33322</v>
      </c>
      <c r="AI20" s="397">
        <f t="shared" si="25"/>
        <v>309105</v>
      </c>
      <c r="AJ20" s="397">
        <f t="shared" si="26"/>
        <v>568103</v>
      </c>
      <c r="AK20" s="397">
        <v>26055</v>
      </c>
      <c r="AL20" s="397">
        <f t="shared" si="27"/>
        <v>594158</v>
      </c>
      <c r="AM20" s="268">
        <v>6.89</v>
      </c>
      <c r="AN20" s="394" t="s">
        <v>2548</v>
      </c>
    </row>
    <row r="21" spans="1:40" s="170" customFormat="1" ht="12.75" customHeight="1">
      <c r="A21" s="413" t="s">
        <v>2549</v>
      </c>
      <c r="B21" s="311">
        <v>96718</v>
      </c>
      <c r="C21" s="311">
        <v>11567</v>
      </c>
      <c r="D21" s="311">
        <v>142723</v>
      </c>
      <c r="E21" s="311">
        <v>9143</v>
      </c>
      <c r="F21" s="311">
        <v>58358</v>
      </c>
      <c r="G21" s="311">
        <f t="shared" si="20"/>
        <v>221791</v>
      </c>
      <c r="H21" s="311">
        <v>101000</v>
      </c>
      <c r="I21" s="311">
        <v>59426</v>
      </c>
      <c r="J21" s="311">
        <v>6851</v>
      </c>
      <c r="K21" s="311">
        <v>22423</v>
      </c>
      <c r="L21" s="311">
        <v>66521</v>
      </c>
      <c r="M21" s="311">
        <v>71534</v>
      </c>
      <c r="N21" s="311">
        <v>35070</v>
      </c>
      <c r="O21" s="311">
        <f t="shared" si="21"/>
        <v>362825</v>
      </c>
      <c r="P21" s="311">
        <f t="shared" si="22"/>
        <v>681334</v>
      </c>
      <c r="Q21" s="311">
        <v>30853</v>
      </c>
      <c r="R21" s="311">
        <f t="shared" si="23"/>
        <v>712187</v>
      </c>
      <c r="S21" s="310">
        <v>11.61</v>
      </c>
      <c r="T21" s="370" t="s">
        <v>2549</v>
      </c>
      <c r="U21" s="413" t="s">
        <v>2549</v>
      </c>
      <c r="V21" s="311">
        <v>87480</v>
      </c>
      <c r="W21" s="311">
        <v>10983</v>
      </c>
      <c r="X21" s="311">
        <v>128397</v>
      </c>
      <c r="Y21" s="311">
        <v>7942</v>
      </c>
      <c r="Z21" s="311">
        <v>52109</v>
      </c>
      <c r="AA21" s="311">
        <f t="shared" si="24"/>
        <v>199431</v>
      </c>
      <c r="AB21" s="311">
        <v>90886</v>
      </c>
      <c r="AC21" s="311">
        <v>53593</v>
      </c>
      <c r="AD21" s="311">
        <v>5987</v>
      </c>
      <c r="AE21" s="311">
        <v>19960</v>
      </c>
      <c r="AF21" s="311">
        <v>56775</v>
      </c>
      <c r="AG21" s="311">
        <v>63280</v>
      </c>
      <c r="AH21" s="311">
        <v>30296</v>
      </c>
      <c r="AI21" s="311">
        <f t="shared" si="25"/>
        <v>320777</v>
      </c>
      <c r="AJ21" s="311">
        <f t="shared" si="26"/>
        <v>607688</v>
      </c>
      <c r="AK21" s="311">
        <v>23396</v>
      </c>
      <c r="AL21" s="311">
        <f t="shared" si="27"/>
        <v>631084</v>
      </c>
      <c r="AM21" s="310">
        <v>5.81</v>
      </c>
      <c r="AN21" s="370" t="s">
        <v>2549</v>
      </c>
    </row>
    <row r="22" spans="1:40" s="170" customFormat="1" ht="12.75" customHeight="1">
      <c r="A22" s="936" t="s">
        <v>1511</v>
      </c>
      <c r="B22" s="397">
        <f>B23+B24+B26+B25</f>
        <v>353443</v>
      </c>
      <c r="C22" s="397">
        <f>C23+C24+C25+C26</f>
        <v>52610</v>
      </c>
      <c r="D22" s="397">
        <f t="shared" ref="D22:F22" si="28">D23+D24+D25+D26</f>
        <v>625937</v>
      </c>
      <c r="E22" s="397">
        <f t="shared" si="28"/>
        <v>40818</v>
      </c>
      <c r="F22" s="397">
        <f t="shared" si="28"/>
        <v>250256</v>
      </c>
      <c r="G22" s="397">
        <f>F22+E22+D22+C22</f>
        <v>969621</v>
      </c>
      <c r="H22" s="397">
        <f>H23+H24+H25+H26</f>
        <v>418395</v>
      </c>
      <c r="I22" s="397">
        <f t="shared" ref="I22:N22" si="29">I23+I24+I25+I26</f>
        <v>251915</v>
      </c>
      <c r="J22" s="397">
        <f t="shared" si="29"/>
        <v>33550</v>
      </c>
      <c r="K22" s="397">
        <f t="shared" si="29"/>
        <v>93296</v>
      </c>
      <c r="L22" s="397">
        <f t="shared" si="29"/>
        <v>285911</v>
      </c>
      <c r="M22" s="397">
        <f t="shared" si="29"/>
        <v>262778</v>
      </c>
      <c r="N22" s="397">
        <f t="shared" si="29"/>
        <v>154934</v>
      </c>
      <c r="O22" s="397">
        <f>N22+M22+L22+K22+J22+I22+H22</f>
        <v>1500779</v>
      </c>
      <c r="P22" s="397">
        <f>O22+G22+B22</f>
        <v>2823843</v>
      </c>
      <c r="Q22" s="397">
        <f>Q23+Q24+Q25+Q26</f>
        <v>127586</v>
      </c>
      <c r="R22" s="397">
        <f>P22+Q22</f>
        <v>2951429</v>
      </c>
      <c r="S22" s="268">
        <v>11.83</v>
      </c>
      <c r="T22" s="377" t="s">
        <v>1511</v>
      </c>
      <c r="U22" s="936" t="s">
        <v>1511</v>
      </c>
      <c r="V22" s="397">
        <f>V23+V24+V26+V25</f>
        <v>308400</v>
      </c>
      <c r="W22" s="397">
        <f>W23+W24+W25+W26</f>
        <v>47271</v>
      </c>
      <c r="X22" s="397">
        <f t="shared" ref="X22:Z22" si="30">X23+X24+X25+X26</f>
        <v>561220</v>
      </c>
      <c r="Y22" s="397">
        <f t="shared" si="30"/>
        <v>33198</v>
      </c>
      <c r="Z22" s="397">
        <f t="shared" si="30"/>
        <v>217314</v>
      </c>
      <c r="AA22" s="397">
        <f>Z22+Y22+X22+W22</f>
        <v>859003</v>
      </c>
      <c r="AB22" s="397">
        <f>AB23+AB24+AB25+AB26</f>
        <v>369561</v>
      </c>
      <c r="AC22" s="397">
        <f t="shared" ref="AC22:AH22" si="31">AC23+AC24+AC25+AC26</f>
        <v>222398</v>
      </c>
      <c r="AD22" s="397">
        <f t="shared" si="31"/>
        <v>28061</v>
      </c>
      <c r="AE22" s="397">
        <f t="shared" si="31"/>
        <v>79324</v>
      </c>
      <c r="AF22" s="397">
        <f t="shared" si="31"/>
        <v>235334</v>
      </c>
      <c r="AG22" s="397">
        <f t="shared" si="31"/>
        <v>225133</v>
      </c>
      <c r="AH22" s="397">
        <f t="shared" si="31"/>
        <v>127933</v>
      </c>
      <c r="AI22" s="397">
        <f>AH22+AG22+AF22+AE22+AD22+AC22+AB22</f>
        <v>1287744</v>
      </c>
      <c r="AJ22" s="397">
        <f>AI22+AA22+V22</f>
        <v>2455147</v>
      </c>
      <c r="AK22" s="397">
        <f>AK23+AK24+AK25+AK26</f>
        <v>106588</v>
      </c>
      <c r="AL22" s="397">
        <f>AJ22+AK22</f>
        <v>2561735</v>
      </c>
      <c r="AM22" s="268">
        <v>7.88</v>
      </c>
      <c r="AN22" s="377" t="s">
        <v>1511</v>
      </c>
    </row>
    <row r="23" spans="1:40" s="170" customFormat="1" ht="12.75" customHeight="1">
      <c r="A23" s="413" t="s">
        <v>2546</v>
      </c>
      <c r="B23" s="311">
        <v>77859</v>
      </c>
      <c r="C23" s="311">
        <v>11711</v>
      </c>
      <c r="D23" s="311">
        <v>151453</v>
      </c>
      <c r="E23" s="311">
        <v>10860</v>
      </c>
      <c r="F23" s="311">
        <v>55915</v>
      </c>
      <c r="G23" s="311">
        <f t="shared" ref="G23:G26" si="32">F23+E23+D23+C23</f>
        <v>229939</v>
      </c>
      <c r="H23" s="311">
        <v>95429</v>
      </c>
      <c r="I23" s="311">
        <v>60254</v>
      </c>
      <c r="J23" s="311">
        <v>7326</v>
      </c>
      <c r="K23" s="311">
        <v>21460</v>
      </c>
      <c r="L23" s="311">
        <v>67451</v>
      </c>
      <c r="M23" s="311">
        <v>61812</v>
      </c>
      <c r="N23" s="311">
        <v>34801</v>
      </c>
      <c r="O23" s="311">
        <f t="shared" ref="O23:O31" si="33">N23+M23+L23+K23+J23+I23+H23</f>
        <v>348533</v>
      </c>
      <c r="P23" s="311">
        <f t="shared" ref="P23:P26" si="34">O23+G23+B23</f>
        <v>656331</v>
      </c>
      <c r="Q23" s="311">
        <v>29522</v>
      </c>
      <c r="R23" s="311">
        <f t="shared" ref="R23:R26" si="35">P23+Q23</f>
        <v>685853</v>
      </c>
      <c r="S23" s="310">
        <v>13.19</v>
      </c>
      <c r="T23" s="370" t="s">
        <v>2546</v>
      </c>
      <c r="U23" s="413" t="s">
        <v>2546</v>
      </c>
      <c r="V23" s="311">
        <v>69123</v>
      </c>
      <c r="W23" s="311">
        <v>10760</v>
      </c>
      <c r="X23" s="311">
        <v>136939</v>
      </c>
      <c r="Y23" s="311">
        <v>9317</v>
      </c>
      <c r="Z23" s="311">
        <v>49531</v>
      </c>
      <c r="AA23" s="311">
        <f t="shared" ref="AA23:AA26" si="36">Z23+Y23+X23+W23</f>
        <v>206547</v>
      </c>
      <c r="AB23" s="311">
        <v>85438</v>
      </c>
      <c r="AC23" s="311">
        <v>54455</v>
      </c>
      <c r="AD23" s="311">
        <v>6251</v>
      </c>
      <c r="AE23" s="311">
        <v>18629</v>
      </c>
      <c r="AF23" s="311">
        <v>57334</v>
      </c>
      <c r="AG23" s="311">
        <v>54045</v>
      </c>
      <c r="AH23" s="311">
        <v>29604</v>
      </c>
      <c r="AI23" s="311">
        <f t="shared" ref="AI23:AI26" si="37">AH23+AG23+AF23+AE23+AD23+AC23+AB23</f>
        <v>305756</v>
      </c>
      <c r="AJ23" s="311">
        <f t="shared" ref="AJ23:AJ26" si="38">AI23+AA23+V23</f>
        <v>581426</v>
      </c>
      <c r="AK23" s="311">
        <v>27954</v>
      </c>
      <c r="AL23" s="311">
        <f t="shared" ref="AL23:AL26" si="39">AJ23+AK23</f>
        <v>609380</v>
      </c>
      <c r="AM23" s="310">
        <v>9.17</v>
      </c>
      <c r="AN23" s="370" t="s">
        <v>2546</v>
      </c>
    </row>
    <row r="24" spans="1:40" s="170" customFormat="1" ht="12.75" customHeight="1">
      <c r="A24" s="399" t="s">
        <v>2547</v>
      </c>
      <c r="B24" s="397">
        <v>94204</v>
      </c>
      <c r="C24" s="397">
        <v>13314</v>
      </c>
      <c r="D24" s="397">
        <v>156294</v>
      </c>
      <c r="E24" s="397">
        <v>9043</v>
      </c>
      <c r="F24" s="397">
        <v>60778</v>
      </c>
      <c r="G24" s="397">
        <f t="shared" si="32"/>
        <v>239429</v>
      </c>
      <c r="H24" s="397">
        <v>103070</v>
      </c>
      <c r="I24" s="397">
        <v>61763</v>
      </c>
      <c r="J24" s="397">
        <v>8416</v>
      </c>
      <c r="K24" s="397">
        <v>22870</v>
      </c>
      <c r="L24" s="397">
        <v>70004</v>
      </c>
      <c r="M24" s="397">
        <v>61850</v>
      </c>
      <c r="N24" s="397">
        <v>38395</v>
      </c>
      <c r="O24" s="397">
        <f t="shared" si="33"/>
        <v>366368</v>
      </c>
      <c r="P24" s="397">
        <f t="shared" si="34"/>
        <v>700001</v>
      </c>
      <c r="Q24" s="397">
        <v>30141</v>
      </c>
      <c r="R24" s="397">
        <f t="shared" si="35"/>
        <v>730142</v>
      </c>
      <c r="S24" s="268">
        <v>11.59</v>
      </c>
      <c r="T24" s="394" t="s">
        <v>2547</v>
      </c>
      <c r="U24" s="399" t="s">
        <v>2547</v>
      </c>
      <c r="V24" s="397">
        <v>81715</v>
      </c>
      <c r="W24" s="397">
        <v>11993</v>
      </c>
      <c r="X24" s="397">
        <v>141023</v>
      </c>
      <c r="Y24" s="397">
        <v>7565</v>
      </c>
      <c r="Z24" s="397">
        <v>53581</v>
      </c>
      <c r="AA24" s="397">
        <f t="shared" si="36"/>
        <v>214162</v>
      </c>
      <c r="AB24" s="397">
        <v>91791</v>
      </c>
      <c r="AC24" s="397">
        <v>54729</v>
      </c>
      <c r="AD24" s="397">
        <v>7050</v>
      </c>
      <c r="AE24" s="397">
        <v>19472</v>
      </c>
      <c r="AF24" s="397">
        <v>59185</v>
      </c>
      <c r="AG24" s="397">
        <v>53177</v>
      </c>
      <c r="AH24" s="397">
        <v>32162</v>
      </c>
      <c r="AI24" s="397">
        <f t="shared" si="37"/>
        <v>317566</v>
      </c>
      <c r="AJ24" s="397">
        <f t="shared" si="38"/>
        <v>613443</v>
      </c>
      <c r="AK24" s="397">
        <v>26193</v>
      </c>
      <c r="AL24" s="397">
        <f t="shared" si="39"/>
        <v>639636</v>
      </c>
      <c r="AM24" s="268">
        <v>8.1999999999999993</v>
      </c>
      <c r="AN24" s="394" t="s">
        <v>2547</v>
      </c>
    </row>
    <row r="25" spans="1:40" s="170" customFormat="1" ht="12.75" customHeight="1">
      <c r="A25" s="413" t="s">
        <v>2548</v>
      </c>
      <c r="B25" s="311">
        <v>75329</v>
      </c>
      <c r="C25" s="311">
        <v>13562</v>
      </c>
      <c r="D25" s="311">
        <v>158889</v>
      </c>
      <c r="E25" s="311">
        <v>9190</v>
      </c>
      <c r="F25" s="311">
        <v>64795</v>
      </c>
      <c r="G25" s="311">
        <f t="shared" si="32"/>
        <v>246436</v>
      </c>
      <c r="H25" s="311">
        <v>104666</v>
      </c>
      <c r="I25" s="311">
        <v>63956</v>
      </c>
      <c r="J25" s="311">
        <v>8936</v>
      </c>
      <c r="K25" s="311">
        <v>23869</v>
      </c>
      <c r="L25" s="311">
        <v>74201</v>
      </c>
      <c r="M25" s="311">
        <v>60520</v>
      </c>
      <c r="N25" s="311">
        <v>40691</v>
      </c>
      <c r="O25" s="311">
        <f t="shared" si="33"/>
        <v>376839</v>
      </c>
      <c r="P25" s="311">
        <f t="shared" si="34"/>
        <v>698604</v>
      </c>
      <c r="Q25" s="311">
        <v>31432</v>
      </c>
      <c r="R25" s="311">
        <f t="shared" si="35"/>
        <v>730036</v>
      </c>
      <c r="S25" s="310">
        <v>9.4700000000000006</v>
      </c>
      <c r="T25" s="370" t="s">
        <v>2548</v>
      </c>
      <c r="U25" s="413" t="s">
        <v>2548</v>
      </c>
      <c r="V25" s="311">
        <v>65120</v>
      </c>
      <c r="W25" s="311">
        <v>11998</v>
      </c>
      <c r="X25" s="311">
        <v>141595</v>
      </c>
      <c r="Y25" s="311">
        <v>7350</v>
      </c>
      <c r="Z25" s="311">
        <v>55764</v>
      </c>
      <c r="AA25" s="311">
        <f t="shared" si="36"/>
        <v>216707</v>
      </c>
      <c r="AB25" s="311">
        <v>91717</v>
      </c>
      <c r="AC25" s="311">
        <v>56203</v>
      </c>
      <c r="AD25" s="311">
        <v>7393</v>
      </c>
      <c r="AE25" s="311">
        <v>20060</v>
      </c>
      <c r="AF25" s="311">
        <v>59576</v>
      </c>
      <c r="AG25" s="311">
        <v>51398</v>
      </c>
      <c r="AH25" s="311">
        <v>33173</v>
      </c>
      <c r="AI25" s="311">
        <f t="shared" si="37"/>
        <v>319520</v>
      </c>
      <c r="AJ25" s="311">
        <f t="shared" si="38"/>
        <v>601347</v>
      </c>
      <c r="AK25" s="311">
        <v>26280</v>
      </c>
      <c r="AL25" s="311">
        <f t="shared" si="39"/>
        <v>627627</v>
      </c>
      <c r="AM25" s="310">
        <v>5.63</v>
      </c>
      <c r="AN25" s="370" t="s">
        <v>2548</v>
      </c>
    </row>
    <row r="26" spans="1:40" s="170" customFormat="1" ht="12.75" customHeight="1">
      <c r="A26" s="399" t="s">
        <v>2549</v>
      </c>
      <c r="B26" s="397">
        <v>106051</v>
      </c>
      <c r="C26" s="397">
        <v>14023</v>
      </c>
      <c r="D26" s="397">
        <v>159301</v>
      </c>
      <c r="E26" s="397">
        <v>11725</v>
      </c>
      <c r="F26" s="397">
        <v>68768</v>
      </c>
      <c r="G26" s="397">
        <f t="shared" si="32"/>
        <v>253817</v>
      </c>
      <c r="H26" s="397">
        <v>115230</v>
      </c>
      <c r="I26" s="397">
        <v>65942</v>
      </c>
      <c r="J26" s="397">
        <v>8872</v>
      </c>
      <c r="K26" s="397">
        <v>25097</v>
      </c>
      <c r="L26" s="397">
        <v>74255</v>
      </c>
      <c r="M26" s="397">
        <v>78596</v>
      </c>
      <c r="N26" s="397">
        <v>41047</v>
      </c>
      <c r="O26" s="397">
        <f t="shared" si="33"/>
        <v>409039</v>
      </c>
      <c r="P26" s="397">
        <f t="shared" si="34"/>
        <v>768907</v>
      </c>
      <c r="Q26" s="397">
        <v>36491</v>
      </c>
      <c r="R26" s="397">
        <f t="shared" si="35"/>
        <v>805398</v>
      </c>
      <c r="S26" s="268">
        <v>13.09</v>
      </c>
      <c r="T26" s="394" t="s">
        <v>2549</v>
      </c>
      <c r="U26" s="399" t="s">
        <v>2549</v>
      </c>
      <c r="V26" s="397">
        <v>92442</v>
      </c>
      <c r="W26" s="397">
        <v>12520</v>
      </c>
      <c r="X26" s="397">
        <v>141663</v>
      </c>
      <c r="Y26" s="397">
        <v>8966</v>
      </c>
      <c r="Z26" s="397">
        <v>58438</v>
      </c>
      <c r="AA26" s="397">
        <f t="shared" si="36"/>
        <v>221587</v>
      </c>
      <c r="AB26" s="397">
        <v>100615</v>
      </c>
      <c r="AC26" s="397">
        <v>57011</v>
      </c>
      <c r="AD26" s="397">
        <v>7367</v>
      </c>
      <c r="AE26" s="397">
        <v>21163</v>
      </c>
      <c r="AF26" s="397">
        <v>59239</v>
      </c>
      <c r="AG26" s="397">
        <v>66513</v>
      </c>
      <c r="AH26" s="397">
        <v>32994</v>
      </c>
      <c r="AI26" s="397">
        <f t="shared" si="37"/>
        <v>344902</v>
      </c>
      <c r="AJ26" s="397">
        <f t="shared" si="38"/>
        <v>658931</v>
      </c>
      <c r="AK26" s="397">
        <v>26161</v>
      </c>
      <c r="AL26" s="397">
        <f t="shared" si="39"/>
        <v>685092</v>
      </c>
      <c r="AM26" s="268">
        <v>8.56</v>
      </c>
      <c r="AN26" s="394" t="s">
        <v>2549</v>
      </c>
    </row>
    <row r="27" spans="1:40" s="170" customFormat="1" ht="12.75" customHeight="1">
      <c r="A27" s="1721" t="s">
        <v>1602</v>
      </c>
      <c r="B27" s="311">
        <f>B28+B29+B31+B30</f>
        <v>380446</v>
      </c>
      <c r="C27" s="311">
        <f>C28+C29+C30+C31</f>
        <v>55224</v>
      </c>
      <c r="D27" s="311">
        <f t="shared" ref="D27:F27" si="40">D28+D29+D30+D31</f>
        <v>653064</v>
      </c>
      <c r="E27" s="311">
        <f t="shared" si="40"/>
        <v>47284</v>
      </c>
      <c r="F27" s="311">
        <f t="shared" si="40"/>
        <v>287880</v>
      </c>
      <c r="G27" s="311">
        <f>C27+D27+E27+F27</f>
        <v>1043452</v>
      </c>
      <c r="H27" s="311">
        <f>H28+H29+H30+H31</f>
        <v>445757</v>
      </c>
      <c r="I27" s="311">
        <f t="shared" ref="I27:N27" si="41">I28+I29+I30+I31</f>
        <v>267359</v>
      </c>
      <c r="J27" s="311">
        <f t="shared" si="41"/>
        <v>36015</v>
      </c>
      <c r="K27" s="311">
        <f t="shared" si="41"/>
        <v>103217</v>
      </c>
      <c r="L27" s="311">
        <f t="shared" si="41"/>
        <v>316662</v>
      </c>
      <c r="M27" s="311">
        <f t="shared" si="41"/>
        <v>294130</v>
      </c>
      <c r="N27" s="311">
        <f t="shared" si="41"/>
        <v>170010</v>
      </c>
      <c r="O27" s="311">
        <f>N27+M27+L27+K27+J27+I27+H27</f>
        <v>1633150</v>
      </c>
      <c r="P27" s="311">
        <f>O27+G27+B27</f>
        <v>3057048</v>
      </c>
      <c r="Q27" s="311">
        <f>Q28+Q29+Q30+Q31</f>
        <v>113421</v>
      </c>
      <c r="R27" s="311">
        <f>P27+Q27</f>
        <v>3170469</v>
      </c>
      <c r="S27" s="310">
        <v>7.42</v>
      </c>
      <c r="T27" s="376" t="s">
        <v>1602</v>
      </c>
      <c r="U27" s="1721" t="s">
        <v>1602</v>
      </c>
      <c r="V27" s="311">
        <f>V28+V29+V31+V30</f>
        <v>318950</v>
      </c>
      <c r="W27" s="311">
        <f>W28+W29+W30+W31</f>
        <v>48765</v>
      </c>
      <c r="X27" s="311">
        <f t="shared" ref="X27:Z27" si="42">X28+X29+X30+X31</f>
        <v>570654</v>
      </c>
      <c r="Y27" s="311">
        <f t="shared" si="42"/>
        <v>33458</v>
      </c>
      <c r="Z27" s="311">
        <f t="shared" si="42"/>
        <v>237146</v>
      </c>
      <c r="AA27" s="311">
        <f>W27+X27+Y27+Z27</f>
        <v>890023</v>
      </c>
      <c r="AB27" s="311">
        <f>AB28+AB29+AB30+AB31</f>
        <v>381439</v>
      </c>
      <c r="AC27" s="311">
        <f t="shared" ref="AC27:AG27" si="43">AC28+AC29+AC30+AC31</f>
        <v>227738</v>
      </c>
      <c r="AD27" s="311">
        <f t="shared" si="43"/>
        <v>28535</v>
      </c>
      <c r="AE27" s="311">
        <f t="shared" si="43"/>
        <v>83068</v>
      </c>
      <c r="AF27" s="311">
        <f t="shared" si="43"/>
        <v>244442</v>
      </c>
      <c r="AG27" s="311">
        <f t="shared" si="43"/>
        <v>241230</v>
      </c>
      <c r="AH27" s="311">
        <f>AH28+AH29+AH30+AH31</f>
        <v>131937</v>
      </c>
      <c r="AI27" s="311">
        <f>AH27+AG27+AF27+AE27+AD27+AC27+AB27</f>
        <v>1338389</v>
      </c>
      <c r="AJ27" s="311">
        <f>AI27+AA27+V27</f>
        <v>2547362</v>
      </c>
      <c r="AK27" s="311">
        <f>AK28+AK29+AK30+AK31</f>
        <v>102703</v>
      </c>
      <c r="AL27" s="311">
        <f>AJ27+AK27</f>
        <v>2650065</v>
      </c>
      <c r="AM27" s="310">
        <v>3.45</v>
      </c>
      <c r="AN27" s="376" t="s">
        <v>1602</v>
      </c>
    </row>
    <row r="28" spans="1:40" s="170" customFormat="1" ht="12.75" customHeight="1">
      <c r="A28" s="399" t="s">
        <v>2546</v>
      </c>
      <c r="B28" s="397">
        <v>85968</v>
      </c>
      <c r="C28" s="397">
        <v>13459</v>
      </c>
      <c r="D28" s="397">
        <v>166853</v>
      </c>
      <c r="E28" s="397">
        <v>13376</v>
      </c>
      <c r="F28" s="397">
        <v>69604</v>
      </c>
      <c r="G28" s="397">
        <f t="shared" ref="G28:G31" si="44">C28+D28+E28+F28</f>
        <v>263292</v>
      </c>
      <c r="H28" s="397">
        <v>106433</v>
      </c>
      <c r="I28" s="397">
        <v>66179</v>
      </c>
      <c r="J28" s="397">
        <v>8572</v>
      </c>
      <c r="K28" s="397">
        <v>23538</v>
      </c>
      <c r="L28" s="397">
        <v>72968</v>
      </c>
      <c r="M28" s="397">
        <v>64620</v>
      </c>
      <c r="N28" s="397">
        <v>42092</v>
      </c>
      <c r="O28" s="397">
        <f t="shared" si="33"/>
        <v>384402</v>
      </c>
      <c r="P28" s="397">
        <f t="shared" ref="P28:P31" si="45">O28+G28+B28</f>
        <v>733662</v>
      </c>
      <c r="Q28" s="397">
        <v>28650</v>
      </c>
      <c r="R28" s="397">
        <f t="shared" ref="R28:R31" si="46">P28+Q28</f>
        <v>762312</v>
      </c>
      <c r="S28" s="268">
        <v>11.15</v>
      </c>
      <c r="T28" s="394" t="s">
        <v>2546</v>
      </c>
      <c r="U28" s="399" t="s">
        <v>2546</v>
      </c>
      <c r="V28" s="397">
        <v>73759</v>
      </c>
      <c r="W28" s="397">
        <v>11913</v>
      </c>
      <c r="X28" s="397">
        <v>146332</v>
      </c>
      <c r="Y28" s="397">
        <v>9619</v>
      </c>
      <c r="Z28" s="397">
        <v>58328</v>
      </c>
      <c r="AA28" s="397">
        <f t="shared" ref="AA28:AA31" si="47">W28+X28+Y28+Z28</f>
        <v>226192</v>
      </c>
      <c r="AB28" s="397">
        <v>92218</v>
      </c>
      <c r="AC28" s="397">
        <v>56848</v>
      </c>
      <c r="AD28" s="397">
        <v>6942</v>
      </c>
      <c r="AE28" s="397">
        <v>19358</v>
      </c>
      <c r="AF28" s="397">
        <v>57956</v>
      </c>
      <c r="AG28" s="397">
        <v>54003</v>
      </c>
      <c r="AH28" s="397">
        <v>33374</v>
      </c>
      <c r="AI28" s="397">
        <f t="shared" ref="AI28:AI31" si="48">AH28+AG28+AF28+AE28+AD28+AC28+AB28</f>
        <v>320699</v>
      </c>
      <c r="AJ28" s="397">
        <f t="shared" ref="AJ28:AJ31" si="49">AI28+AA28+V28</f>
        <v>620650</v>
      </c>
      <c r="AK28" s="397">
        <v>29402</v>
      </c>
      <c r="AL28" s="397">
        <f t="shared" ref="AL28:AL31" si="50">AJ28+AK28</f>
        <v>650052</v>
      </c>
      <c r="AM28" s="268">
        <v>6.67</v>
      </c>
      <c r="AN28" s="394" t="s">
        <v>2546</v>
      </c>
    </row>
    <row r="29" spans="1:40" s="170" customFormat="1" ht="12.75" customHeight="1">
      <c r="A29" s="413" t="s">
        <v>2547</v>
      </c>
      <c r="B29" s="311">
        <v>105305</v>
      </c>
      <c r="C29" s="311">
        <v>14606</v>
      </c>
      <c r="D29" s="311">
        <v>170614</v>
      </c>
      <c r="E29" s="311">
        <v>11189</v>
      </c>
      <c r="F29" s="311">
        <v>77223</v>
      </c>
      <c r="G29" s="311">
        <f t="shared" si="44"/>
        <v>273632</v>
      </c>
      <c r="H29" s="311">
        <v>117635</v>
      </c>
      <c r="I29" s="311">
        <v>67308</v>
      </c>
      <c r="J29" s="311">
        <v>9235</v>
      </c>
      <c r="K29" s="311">
        <v>25503</v>
      </c>
      <c r="L29" s="311">
        <v>78587</v>
      </c>
      <c r="M29" s="311">
        <v>70598</v>
      </c>
      <c r="N29" s="311">
        <v>45101</v>
      </c>
      <c r="O29" s="311">
        <f t="shared" si="33"/>
        <v>413967</v>
      </c>
      <c r="P29" s="311">
        <f t="shared" si="45"/>
        <v>792904</v>
      </c>
      <c r="Q29" s="311">
        <v>32283</v>
      </c>
      <c r="R29" s="311">
        <f t="shared" si="46"/>
        <v>825187</v>
      </c>
      <c r="S29" s="310">
        <v>13.02</v>
      </c>
      <c r="T29" s="370" t="s">
        <v>2547</v>
      </c>
      <c r="U29" s="413" t="s">
        <v>2547</v>
      </c>
      <c r="V29" s="311">
        <v>87711</v>
      </c>
      <c r="W29" s="311">
        <v>12859</v>
      </c>
      <c r="X29" s="311">
        <v>150190</v>
      </c>
      <c r="Y29" s="311">
        <v>7964</v>
      </c>
      <c r="Z29" s="311">
        <v>64066</v>
      </c>
      <c r="AA29" s="311">
        <f t="shared" si="47"/>
        <v>235079</v>
      </c>
      <c r="AB29" s="311">
        <v>100966</v>
      </c>
      <c r="AC29" s="311">
        <v>57281</v>
      </c>
      <c r="AD29" s="311">
        <v>7319</v>
      </c>
      <c r="AE29" s="311">
        <v>20532</v>
      </c>
      <c r="AF29" s="311">
        <v>62254</v>
      </c>
      <c r="AG29" s="311">
        <v>58117</v>
      </c>
      <c r="AH29" s="311">
        <v>35219</v>
      </c>
      <c r="AI29" s="311">
        <f t="shared" si="48"/>
        <v>341688</v>
      </c>
      <c r="AJ29" s="311">
        <f t="shared" si="49"/>
        <v>664478</v>
      </c>
      <c r="AK29" s="311">
        <v>26593</v>
      </c>
      <c r="AL29" s="311">
        <f t="shared" si="50"/>
        <v>691071</v>
      </c>
      <c r="AM29" s="310">
        <v>8.0399999999999991</v>
      </c>
      <c r="AN29" s="370" t="s">
        <v>2547</v>
      </c>
    </row>
    <row r="30" spans="1:40" s="170" customFormat="1" ht="12.75" customHeight="1">
      <c r="A30" s="399" t="s">
        <v>2548</v>
      </c>
      <c r="B30" s="397">
        <v>81430</v>
      </c>
      <c r="C30" s="397">
        <v>16263</v>
      </c>
      <c r="D30" s="397">
        <v>173946</v>
      </c>
      <c r="E30" s="397">
        <v>11281</v>
      </c>
      <c r="F30" s="397">
        <v>82063</v>
      </c>
      <c r="G30" s="397">
        <f t="shared" si="44"/>
        <v>283553</v>
      </c>
      <c r="H30" s="397">
        <v>118322</v>
      </c>
      <c r="I30" s="397">
        <v>68941</v>
      </c>
      <c r="J30" s="397">
        <v>9618</v>
      </c>
      <c r="K30" s="397">
        <v>29566</v>
      </c>
      <c r="L30" s="397">
        <v>82050</v>
      </c>
      <c r="M30" s="397">
        <v>68028</v>
      </c>
      <c r="N30" s="397">
        <v>43333</v>
      </c>
      <c r="O30" s="397">
        <f t="shared" si="33"/>
        <v>419858</v>
      </c>
      <c r="P30" s="397">
        <f t="shared" si="45"/>
        <v>784841</v>
      </c>
      <c r="Q30" s="397">
        <v>33431</v>
      </c>
      <c r="R30" s="397">
        <f t="shared" si="46"/>
        <v>818272</v>
      </c>
      <c r="S30" s="268">
        <v>12.09</v>
      </c>
      <c r="T30" s="394" t="s">
        <v>2548</v>
      </c>
      <c r="U30" s="399" t="s">
        <v>2548</v>
      </c>
      <c r="V30" s="397">
        <v>67964</v>
      </c>
      <c r="W30" s="397">
        <v>14269</v>
      </c>
      <c r="X30" s="397">
        <v>151518</v>
      </c>
      <c r="Y30" s="397">
        <v>7821</v>
      </c>
      <c r="Z30" s="397">
        <v>66825</v>
      </c>
      <c r="AA30" s="397">
        <f t="shared" si="47"/>
        <v>240433</v>
      </c>
      <c r="AB30" s="397">
        <v>100647</v>
      </c>
      <c r="AC30" s="397">
        <v>58559</v>
      </c>
      <c r="AD30" s="397">
        <v>7539</v>
      </c>
      <c r="AE30" s="397">
        <v>23554</v>
      </c>
      <c r="AF30" s="397">
        <v>61738</v>
      </c>
      <c r="AG30" s="397">
        <v>55246</v>
      </c>
      <c r="AH30" s="397">
        <v>33319</v>
      </c>
      <c r="AI30" s="397">
        <f t="shared" si="48"/>
        <v>340602</v>
      </c>
      <c r="AJ30" s="397">
        <f t="shared" si="49"/>
        <v>648999</v>
      </c>
      <c r="AK30" s="397">
        <v>28679</v>
      </c>
      <c r="AL30" s="397">
        <f t="shared" si="50"/>
        <v>677678</v>
      </c>
      <c r="AM30" s="268">
        <v>7.97</v>
      </c>
      <c r="AN30" s="394" t="s">
        <v>2548</v>
      </c>
    </row>
    <row r="31" spans="1:40" s="170" customFormat="1" ht="12.75" customHeight="1">
      <c r="A31" s="413" t="s">
        <v>2549</v>
      </c>
      <c r="B31" s="311">
        <v>107743</v>
      </c>
      <c r="C31" s="311">
        <v>10896</v>
      </c>
      <c r="D31" s="311">
        <v>141651</v>
      </c>
      <c r="E31" s="311">
        <v>11438</v>
      </c>
      <c r="F31" s="311">
        <v>58990</v>
      </c>
      <c r="G31" s="311">
        <f t="shared" si="44"/>
        <v>222975</v>
      </c>
      <c r="H31" s="311">
        <v>103367</v>
      </c>
      <c r="I31" s="311">
        <v>64931</v>
      </c>
      <c r="J31" s="311">
        <v>8590</v>
      </c>
      <c r="K31" s="311">
        <v>24610</v>
      </c>
      <c r="L31" s="311">
        <v>83057</v>
      </c>
      <c r="M31" s="311">
        <v>90884</v>
      </c>
      <c r="N31" s="311">
        <v>39484</v>
      </c>
      <c r="O31" s="311">
        <f t="shared" si="33"/>
        <v>414923</v>
      </c>
      <c r="P31" s="311">
        <f t="shared" si="45"/>
        <v>745641</v>
      </c>
      <c r="Q31" s="311">
        <v>19057</v>
      </c>
      <c r="R31" s="311">
        <f t="shared" si="46"/>
        <v>764698</v>
      </c>
      <c r="S31" s="310">
        <v>-5.05</v>
      </c>
      <c r="T31" s="370" t="s">
        <v>2549</v>
      </c>
      <c r="U31" s="413" t="s">
        <v>2549</v>
      </c>
      <c r="V31" s="311">
        <v>89516</v>
      </c>
      <c r="W31" s="311">
        <v>9724</v>
      </c>
      <c r="X31" s="311">
        <v>122614</v>
      </c>
      <c r="Y31" s="311">
        <v>8054</v>
      </c>
      <c r="Z31" s="311">
        <v>47927</v>
      </c>
      <c r="AA31" s="311">
        <f t="shared" si="47"/>
        <v>188319</v>
      </c>
      <c r="AB31" s="311">
        <v>87608</v>
      </c>
      <c r="AC31" s="311">
        <v>55050</v>
      </c>
      <c r="AD31" s="311">
        <v>6735</v>
      </c>
      <c r="AE31" s="311">
        <v>19624</v>
      </c>
      <c r="AF31" s="311">
        <v>62494</v>
      </c>
      <c r="AG31" s="311">
        <v>73864</v>
      </c>
      <c r="AH31" s="311">
        <v>30025</v>
      </c>
      <c r="AI31" s="311">
        <f t="shared" si="48"/>
        <v>335400</v>
      </c>
      <c r="AJ31" s="311">
        <f t="shared" si="49"/>
        <v>613235</v>
      </c>
      <c r="AK31" s="311">
        <v>18029</v>
      </c>
      <c r="AL31" s="311">
        <f t="shared" si="50"/>
        <v>631264</v>
      </c>
      <c r="AM31" s="310">
        <v>-7.86</v>
      </c>
      <c r="AN31" s="370" t="s">
        <v>2549</v>
      </c>
    </row>
    <row r="32" spans="1:40" s="170" customFormat="1" ht="12.75" customHeight="1">
      <c r="A32" s="936" t="s">
        <v>1668</v>
      </c>
      <c r="B32" s="397">
        <f>B33+B34+B35+B36</f>
        <v>410661</v>
      </c>
      <c r="C32" s="397">
        <f>C33+C34+C35+C36</f>
        <v>59102</v>
      </c>
      <c r="D32" s="397">
        <f t="shared" ref="D32:F32" si="51">D33+D34+D35+D36</f>
        <v>749659</v>
      </c>
      <c r="E32" s="397">
        <f t="shared" si="51"/>
        <v>47870</v>
      </c>
      <c r="F32" s="397">
        <f t="shared" si="51"/>
        <v>319490</v>
      </c>
      <c r="G32" s="397">
        <f>C32+D32+E32+F32</f>
        <v>1176121</v>
      </c>
      <c r="H32" s="397">
        <f>H33+H34+H35+H36</f>
        <v>497652</v>
      </c>
      <c r="I32" s="397">
        <f t="shared" ref="I32:N32" si="52">I33+I34+I35+I36</f>
        <v>294663</v>
      </c>
      <c r="J32" s="397">
        <f t="shared" si="52"/>
        <v>39857</v>
      </c>
      <c r="K32" s="397">
        <f t="shared" si="52"/>
        <v>115271</v>
      </c>
      <c r="L32" s="397">
        <f t="shared" si="52"/>
        <v>346439</v>
      </c>
      <c r="M32" s="397">
        <f t="shared" si="52"/>
        <v>331138</v>
      </c>
      <c r="N32" s="397">
        <f t="shared" si="52"/>
        <v>186017</v>
      </c>
      <c r="O32" s="397">
        <f>N32+M32+L32+K32+J32+I32+H32</f>
        <v>1811037</v>
      </c>
      <c r="P32" s="397">
        <f>O32+G32+B32</f>
        <v>3397819</v>
      </c>
      <c r="Q32" s="397">
        <f>Q33+Q34+Q35+Q36</f>
        <v>132366</v>
      </c>
      <c r="R32" s="397">
        <f>P32+Q32</f>
        <v>3530185</v>
      </c>
      <c r="S32" s="268">
        <v>11.35</v>
      </c>
      <c r="T32" s="377" t="s">
        <v>1668</v>
      </c>
      <c r="U32" s="936" t="s">
        <v>1668</v>
      </c>
      <c r="V32" s="397">
        <f>V33+V34+V35+V36</f>
        <v>329075</v>
      </c>
      <c r="W32" s="397">
        <f>W33+W34+W35+W36</f>
        <v>51932</v>
      </c>
      <c r="X32" s="397">
        <f t="shared" ref="X32:Z32" si="53">X33+X34+X35+X36</f>
        <v>636764</v>
      </c>
      <c r="Y32" s="397">
        <f t="shared" si="53"/>
        <v>36579</v>
      </c>
      <c r="Z32" s="397">
        <f t="shared" si="53"/>
        <v>256305</v>
      </c>
      <c r="AA32" s="397">
        <f>W32+X32+Y32+Z32</f>
        <v>981580</v>
      </c>
      <c r="AB32" s="397">
        <f>AB33+AB34+AB35+AB36</f>
        <v>410589</v>
      </c>
      <c r="AC32" s="397">
        <f t="shared" ref="AC32:AH32" si="54">AC33+AC34+AC35+AC36</f>
        <v>237946</v>
      </c>
      <c r="AD32" s="397">
        <f t="shared" si="54"/>
        <v>29828</v>
      </c>
      <c r="AE32" s="397">
        <f t="shared" si="54"/>
        <v>87901</v>
      </c>
      <c r="AF32" s="397">
        <f t="shared" si="54"/>
        <v>253363</v>
      </c>
      <c r="AG32" s="397">
        <f t="shared" si="54"/>
        <v>259377</v>
      </c>
      <c r="AH32" s="397">
        <f t="shared" si="54"/>
        <v>136105</v>
      </c>
      <c r="AI32" s="397">
        <f>AH32+AG32+AF32+AE32+AD32+AC32+AB32</f>
        <v>1415109</v>
      </c>
      <c r="AJ32" s="397">
        <f>AI32+AA32+V32</f>
        <v>2725764</v>
      </c>
      <c r="AK32" s="397">
        <f>AK33+AK34+AK35+AK36</f>
        <v>108180</v>
      </c>
      <c r="AL32" s="397">
        <f>AJ32+AK32</f>
        <v>2833944</v>
      </c>
      <c r="AM32" s="268">
        <v>6.94</v>
      </c>
      <c r="AN32" s="377" t="s">
        <v>1668</v>
      </c>
    </row>
    <row r="33" spans="1:40" s="170" customFormat="1" ht="12.75" customHeight="1">
      <c r="A33" s="413" t="s">
        <v>2546</v>
      </c>
      <c r="B33" s="311">
        <v>92863</v>
      </c>
      <c r="C33" s="311">
        <v>12931</v>
      </c>
      <c r="D33" s="311">
        <v>172094</v>
      </c>
      <c r="E33" s="311">
        <v>13260</v>
      </c>
      <c r="F33" s="311">
        <v>70982</v>
      </c>
      <c r="G33" s="311">
        <f t="shared" ref="G33:G41" si="55">C33+D33+E33+F33</f>
        <v>269267</v>
      </c>
      <c r="H33" s="311">
        <v>106508</v>
      </c>
      <c r="I33" s="311">
        <v>70114</v>
      </c>
      <c r="J33" s="311">
        <v>7183</v>
      </c>
      <c r="K33" s="311">
        <v>24757</v>
      </c>
      <c r="L33" s="311">
        <v>83037</v>
      </c>
      <c r="M33" s="311">
        <v>75171</v>
      </c>
      <c r="N33" s="311">
        <v>39099</v>
      </c>
      <c r="O33" s="311">
        <f t="shared" ref="O33:O41" si="56">N33+M33+L33+K33+J33+I33+H33</f>
        <v>405869</v>
      </c>
      <c r="P33" s="311">
        <f t="shared" ref="P33:P41" si="57">O33+G33+B33</f>
        <v>767999</v>
      </c>
      <c r="Q33" s="311">
        <v>27769</v>
      </c>
      <c r="R33" s="311">
        <f t="shared" ref="R33:R41" si="58">P33+Q33</f>
        <v>795768</v>
      </c>
      <c r="S33" s="310">
        <v>4.3899999999999997</v>
      </c>
      <c r="T33" s="370" t="s">
        <v>2546</v>
      </c>
      <c r="U33" s="413" t="s">
        <v>2546</v>
      </c>
      <c r="V33" s="311">
        <v>76127</v>
      </c>
      <c r="W33" s="311">
        <v>11443</v>
      </c>
      <c r="X33" s="311">
        <v>149158</v>
      </c>
      <c r="Y33" s="311">
        <v>9803</v>
      </c>
      <c r="Z33" s="311">
        <v>57780</v>
      </c>
      <c r="AA33" s="311">
        <f t="shared" ref="AA33:AA36" si="59">W33+X33+Y33+Z33</f>
        <v>228184</v>
      </c>
      <c r="AB33" s="311">
        <v>89489</v>
      </c>
      <c r="AC33" s="311">
        <v>57359</v>
      </c>
      <c r="AD33" s="311">
        <v>5493</v>
      </c>
      <c r="AE33" s="311">
        <v>19271</v>
      </c>
      <c r="AF33" s="311">
        <v>62303</v>
      </c>
      <c r="AG33" s="311">
        <v>60306</v>
      </c>
      <c r="AH33" s="311">
        <v>29400</v>
      </c>
      <c r="AI33" s="311">
        <f t="shared" ref="AI33:AI36" si="60">AH33+AG33+AF33+AE33+AD33+AC33+AB33</f>
        <v>323621</v>
      </c>
      <c r="AJ33" s="311">
        <f t="shared" ref="AJ33:AJ36" si="61">AI33+AA33+V33</f>
        <v>627932</v>
      </c>
      <c r="AK33" s="311">
        <v>27644</v>
      </c>
      <c r="AL33" s="311">
        <f t="shared" ref="AL33:AL36" si="62">AJ33+AK33</f>
        <v>655576</v>
      </c>
      <c r="AM33" s="310">
        <v>0.85</v>
      </c>
      <c r="AN33" s="370" t="s">
        <v>2546</v>
      </c>
    </row>
    <row r="34" spans="1:40" s="170" customFormat="1" ht="12.75" customHeight="1">
      <c r="A34" s="399" t="s">
        <v>2547</v>
      </c>
      <c r="B34" s="397">
        <v>111394</v>
      </c>
      <c r="C34" s="397">
        <v>14830</v>
      </c>
      <c r="D34" s="397">
        <v>181602</v>
      </c>
      <c r="E34" s="397">
        <v>11046</v>
      </c>
      <c r="F34" s="397">
        <v>77422</v>
      </c>
      <c r="G34" s="397">
        <f t="shared" si="55"/>
        <v>284900</v>
      </c>
      <c r="H34" s="397">
        <v>112530</v>
      </c>
      <c r="I34" s="397">
        <v>72723</v>
      </c>
      <c r="J34" s="397">
        <v>9071</v>
      </c>
      <c r="K34" s="397">
        <v>27571</v>
      </c>
      <c r="L34" s="397">
        <v>87217</v>
      </c>
      <c r="M34" s="397">
        <v>73822</v>
      </c>
      <c r="N34" s="397">
        <v>40475</v>
      </c>
      <c r="O34" s="397">
        <f t="shared" si="56"/>
        <v>423409</v>
      </c>
      <c r="P34" s="397">
        <f t="shared" si="57"/>
        <v>819703</v>
      </c>
      <c r="Q34" s="397">
        <v>35028</v>
      </c>
      <c r="R34" s="397">
        <f t="shared" si="58"/>
        <v>854731</v>
      </c>
      <c r="S34" s="268">
        <v>3.58</v>
      </c>
      <c r="T34" s="394" t="s">
        <v>2547</v>
      </c>
      <c r="U34" s="399" t="s">
        <v>2547</v>
      </c>
      <c r="V34" s="397">
        <v>88264</v>
      </c>
      <c r="W34" s="397">
        <v>12911</v>
      </c>
      <c r="X34" s="397">
        <v>156034</v>
      </c>
      <c r="Y34" s="397">
        <v>8498</v>
      </c>
      <c r="Z34" s="397">
        <v>62881</v>
      </c>
      <c r="AA34" s="397">
        <f t="shared" si="59"/>
        <v>240324</v>
      </c>
      <c r="AB34" s="397">
        <v>93683</v>
      </c>
      <c r="AC34" s="397">
        <v>59365</v>
      </c>
      <c r="AD34" s="397">
        <v>6785</v>
      </c>
      <c r="AE34" s="397">
        <v>21005</v>
      </c>
      <c r="AF34" s="397">
        <v>65144</v>
      </c>
      <c r="AG34" s="397">
        <v>57964</v>
      </c>
      <c r="AH34" s="397">
        <v>30051</v>
      </c>
      <c r="AI34" s="397">
        <f t="shared" si="60"/>
        <v>333997</v>
      </c>
      <c r="AJ34" s="397">
        <f t="shared" si="61"/>
        <v>662585</v>
      </c>
      <c r="AK34" s="397">
        <v>27991</v>
      </c>
      <c r="AL34" s="397">
        <f t="shared" si="62"/>
        <v>690576</v>
      </c>
      <c r="AM34" s="268">
        <v>-7.0000000000000007E-2</v>
      </c>
      <c r="AN34" s="394" t="s">
        <v>2547</v>
      </c>
    </row>
    <row r="35" spans="1:40" s="170" customFormat="1" ht="12.75" customHeight="1">
      <c r="A35" s="413" t="s">
        <v>2548</v>
      </c>
      <c r="B35" s="311">
        <v>86902</v>
      </c>
      <c r="C35" s="311">
        <v>17243</v>
      </c>
      <c r="D35" s="311">
        <v>193816</v>
      </c>
      <c r="E35" s="311">
        <v>10719</v>
      </c>
      <c r="F35" s="311">
        <v>87489</v>
      </c>
      <c r="G35" s="311">
        <f t="shared" si="55"/>
        <v>309267</v>
      </c>
      <c r="H35" s="311">
        <v>130735</v>
      </c>
      <c r="I35" s="311">
        <v>75015</v>
      </c>
      <c r="J35" s="311">
        <v>13079</v>
      </c>
      <c r="K35" s="311">
        <v>30155</v>
      </c>
      <c r="L35" s="311">
        <v>87068</v>
      </c>
      <c r="M35" s="311">
        <v>80065</v>
      </c>
      <c r="N35" s="311">
        <v>54398</v>
      </c>
      <c r="O35" s="311">
        <f t="shared" si="56"/>
        <v>470515</v>
      </c>
      <c r="P35" s="311">
        <f t="shared" si="57"/>
        <v>866684</v>
      </c>
      <c r="Q35" s="311">
        <v>36735</v>
      </c>
      <c r="R35" s="311">
        <f t="shared" si="58"/>
        <v>903419</v>
      </c>
      <c r="S35" s="310">
        <v>10.41</v>
      </c>
      <c r="T35" s="370" t="s">
        <v>2548</v>
      </c>
      <c r="U35" s="413" t="s">
        <v>2548</v>
      </c>
      <c r="V35" s="311">
        <v>69398</v>
      </c>
      <c r="W35" s="311">
        <v>15066</v>
      </c>
      <c r="X35" s="311">
        <v>164497</v>
      </c>
      <c r="Y35" s="311">
        <v>8321</v>
      </c>
      <c r="Z35" s="311">
        <v>69756</v>
      </c>
      <c r="AA35" s="311">
        <f t="shared" si="59"/>
        <v>257640</v>
      </c>
      <c r="AB35" s="311">
        <v>107029</v>
      </c>
      <c r="AC35" s="311">
        <v>60812</v>
      </c>
      <c r="AD35" s="311">
        <v>9727</v>
      </c>
      <c r="AE35" s="311">
        <v>22834</v>
      </c>
      <c r="AF35" s="311">
        <v>62319</v>
      </c>
      <c r="AG35" s="311">
        <v>62127</v>
      </c>
      <c r="AH35" s="311">
        <v>39426</v>
      </c>
      <c r="AI35" s="311">
        <f t="shared" si="60"/>
        <v>364274</v>
      </c>
      <c r="AJ35" s="311">
        <f t="shared" si="61"/>
        <v>691312</v>
      </c>
      <c r="AK35" s="311">
        <v>28451</v>
      </c>
      <c r="AL35" s="311">
        <f t="shared" si="62"/>
        <v>719763</v>
      </c>
      <c r="AM35" s="310">
        <v>6.21</v>
      </c>
      <c r="AN35" s="370" t="s">
        <v>2548</v>
      </c>
    </row>
    <row r="36" spans="1:40" s="170" customFormat="1" ht="12.75" customHeight="1">
      <c r="A36" s="399" t="s">
        <v>2549</v>
      </c>
      <c r="B36" s="397">
        <v>119502</v>
      </c>
      <c r="C36" s="397">
        <v>14098</v>
      </c>
      <c r="D36" s="397">
        <v>202147</v>
      </c>
      <c r="E36" s="397">
        <v>12845</v>
      </c>
      <c r="F36" s="397">
        <v>83597</v>
      </c>
      <c r="G36" s="397">
        <f t="shared" si="55"/>
        <v>312687</v>
      </c>
      <c r="H36" s="397">
        <v>147879</v>
      </c>
      <c r="I36" s="397">
        <v>76811</v>
      </c>
      <c r="J36" s="397">
        <v>10524</v>
      </c>
      <c r="K36" s="397">
        <v>32788</v>
      </c>
      <c r="L36" s="397">
        <v>89117</v>
      </c>
      <c r="M36" s="397">
        <v>102080</v>
      </c>
      <c r="N36" s="397">
        <v>52045</v>
      </c>
      <c r="O36" s="397">
        <f t="shared" si="56"/>
        <v>511244</v>
      </c>
      <c r="P36" s="397">
        <f t="shared" si="57"/>
        <v>943433</v>
      </c>
      <c r="Q36" s="397">
        <v>32834</v>
      </c>
      <c r="R36" s="397">
        <f t="shared" si="58"/>
        <v>976267</v>
      </c>
      <c r="S36" s="268">
        <v>27.67</v>
      </c>
      <c r="T36" s="394" t="s">
        <v>2549</v>
      </c>
      <c r="U36" s="399" t="s">
        <v>2549</v>
      </c>
      <c r="V36" s="397">
        <v>95286</v>
      </c>
      <c r="W36" s="397">
        <v>12512</v>
      </c>
      <c r="X36" s="397">
        <v>167075</v>
      </c>
      <c r="Y36" s="397">
        <v>9957</v>
      </c>
      <c r="Z36" s="397">
        <v>65888</v>
      </c>
      <c r="AA36" s="397">
        <f t="shared" si="59"/>
        <v>255432</v>
      </c>
      <c r="AB36" s="397">
        <v>120388</v>
      </c>
      <c r="AC36" s="397">
        <v>60410</v>
      </c>
      <c r="AD36" s="397">
        <v>7823</v>
      </c>
      <c r="AE36" s="397">
        <v>24791</v>
      </c>
      <c r="AF36" s="397">
        <v>63597</v>
      </c>
      <c r="AG36" s="397">
        <v>78980</v>
      </c>
      <c r="AH36" s="397">
        <v>37228</v>
      </c>
      <c r="AI36" s="397">
        <f t="shared" si="60"/>
        <v>393217</v>
      </c>
      <c r="AJ36" s="397">
        <f t="shared" si="61"/>
        <v>743935</v>
      </c>
      <c r="AK36" s="397">
        <v>24094</v>
      </c>
      <c r="AL36" s="397">
        <f t="shared" si="62"/>
        <v>768029</v>
      </c>
      <c r="AM36" s="268">
        <v>21.67</v>
      </c>
      <c r="AN36" s="394" t="s">
        <v>2549</v>
      </c>
    </row>
    <row r="37" spans="1:40" s="170" customFormat="1" ht="12.75" customHeight="1">
      <c r="A37" s="1721" t="s">
        <v>2018</v>
      </c>
      <c r="B37" s="311">
        <f>B38+B39+B40+B41</f>
        <v>445531</v>
      </c>
      <c r="C37" s="311">
        <f>C38+C39+C40+C41</f>
        <v>58916</v>
      </c>
      <c r="D37" s="311">
        <f t="shared" ref="D37:F37" si="63">D38+D39+D40+D41</f>
        <v>864437</v>
      </c>
      <c r="E37" s="311">
        <f t="shared" si="63"/>
        <v>54223</v>
      </c>
      <c r="F37" s="311">
        <f t="shared" si="63"/>
        <v>369633</v>
      </c>
      <c r="G37" s="311">
        <f>C37+D37+E37+F37</f>
        <v>1347209</v>
      </c>
      <c r="H37" s="311">
        <f>H38+H39+H40+H41</f>
        <v>567097</v>
      </c>
      <c r="I37" s="311">
        <f t="shared" ref="I37:N37" si="64">I38+I39+I40+I41</f>
        <v>326694</v>
      </c>
      <c r="J37" s="311">
        <f t="shared" si="64"/>
        <v>44452</v>
      </c>
      <c r="K37" s="311">
        <f t="shared" si="64"/>
        <v>129539</v>
      </c>
      <c r="L37" s="311">
        <f t="shared" si="64"/>
        <v>378260</v>
      </c>
      <c r="M37" s="311">
        <f t="shared" si="64"/>
        <v>375086</v>
      </c>
      <c r="N37" s="311">
        <f t="shared" si="64"/>
        <v>205961</v>
      </c>
      <c r="O37" s="311">
        <f>N37+M37+L37+K37+J37+I37+H37</f>
        <v>2027089</v>
      </c>
      <c r="P37" s="311">
        <f>O37+G37+B37</f>
        <v>3819829</v>
      </c>
      <c r="Q37" s="311">
        <f>Q38+Q39+Q40+Q41</f>
        <v>151887</v>
      </c>
      <c r="R37" s="311">
        <f>P37+Q37</f>
        <v>3971716</v>
      </c>
      <c r="S37" s="310">
        <v>12.51</v>
      </c>
      <c r="T37" s="376" t="s">
        <v>2018</v>
      </c>
      <c r="U37" s="1721" t="s">
        <v>2018</v>
      </c>
      <c r="V37" s="311">
        <f>V38+V39+V40+V41</f>
        <v>339125</v>
      </c>
      <c r="W37" s="311">
        <f>W38+W39+W40+W41</f>
        <v>51352</v>
      </c>
      <c r="X37" s="311">
        <f t="shared" ref="X37:Z37" si="65">X38+X39+X40+X41</f>
        <v>709423</v>
      </c>
      <c r="Y37" s="311">
        <f t="shared" si="65"/>
        <v>38919</v>
      </c>
      <c r="Z37" s="311">
        <f t="shared" si="65"/>
        <v>278628</v>
      </c>
      <c r="AA37" s="311">
        <f>W37+X37+Y37+Z37</f>
        <v>1078322</v>
      </c>
      <c r="AB37" s="311">
        <f>AB38+AB39+AB40+AB41</f>
        <v>445317</v>
      </c>
      <c r="AC37" s="311">
        <f t="shared" ref="AC37:AH37" si="66">AC38+AC39+AC40+AC41</f>
        <v>251290</v>
      </c>
      <c r="AD37" s="311">
        <f t="shared" si="66"/>
        <v>31428</v>
      </c>
      <c r="AE37" s="311">
        <f t="shared" si="66"/>
        <v>93061</v>
      </c>
      <c r="AF37" s="311">
        <f t="shared" si="66"/>
        <v>263230</v>
      </c>
      <c r="AG37" s="311">
        <f t="shared" si="66"/>
        <v>278767</v>
      </c>
      <c r="AH37" s="311">
        <f t="shared" si="66"/>
        <v>140554</v>
      </c>
      <c r="AI37" s="311">
        <f>AH37+AG37+AF37+AE37+AD37+AC37+AB37</f>
        <v>1503647</v>
      </c>
      <c r="AJ37" s="311">
        <f>AI37+AA37+V37</f>
        <v>2921094</v>
      </c>
      <c r="AK37" s="311">
        <f>AK38+AK39+AK40+AK41</f>
        <v>114056</v>
      </c>
      <c r="AL37" s="311">
        <f>AJ37+AK37</f>
        <v>3035150</v>
      </c>
      <c r="AM37" s="310">
        <v>7.1</v>
      </c>
      <c r="AN37" s="376" t="s">
        <v>2018</v>
      </c>
    </row>
    <row r="38" spans="1:40" s="170" customFormat="1" ht="12.75" customHeight="1">
      <c r="A38" s="399" t="s">
        <v>2546</v>
      </c>
      <c r="B38" s="397">
        <v>98892</v>
      </c>
      <c r="C38" s="397">
        <v>12469</v>
      </c>
      <c r="D38" s="397">
        <v>193644</v>
      </c>
      <c r="E38" s="397">
        <v>14028</v>
      </c>
      <c r="F38" s="397">
        <v>78408</v>
      </c>
      <c r="G38" s="397">
        <f t="shared" si="55"/>
        <v>298549</v>
      </c>
      <c r="H38" s="397">
        <v>123186</v>
      </c>
      <c r="I38" s="397">
        <v>78244</v>
      </c>
      <c r="J38" s="397">
        <v>7539</v>
      </c>
      <c r="K38" s="397">
        <v>30779</v>
      </c>
      <c r="L38" s="397">
        <v>87152</v>
      </c>
      <c r="M38" s="397">
        <v>81511</v>
      </c>
      <c r="N38" s="397">
        <v>39821</v>
      </c>
      <c r="O38" s="397">
        <f t="shared" si="56"/>
        <v>448232</v>
      </c>
      <c r="P38" s="397">
        <f t="shared" si="57"/>
        <v>845673</v>
      </c>
      <c r="Q38" s="397">
        <v>33445</v>
      </c>
      <c r="R38" s="397">
        <f t="shared" si="58"/>
        <v>879118</v>
      </c>
      <c r="S38" s="268">
        <v>10.47</v>
      </c>
      <c r="T38" s="394" t="s">
        <v>2546</v>
      </c>
      <c r="U38" s="399" t="s">
        <v>2546</v>
      </c>
      <c r="V38" s="397">
        <v>77712</v>
      </c>
      <c r="W38" s="397">
        <v>10994</v>
      </c>
      <c r="X38" s="397">
        <v>161070</v>
      </c>
      <c r="Y38" s="397">
        <v>10469</v>
      </c>
      <c r="Z38" s="397">
        <v>60916</v>
      </c>
      <c r="AA38" s="397">
        <f t="shared" ref="AA38:AA41" si="67">W38+X38+Y38+Z38</f>
        <v>243449</v>
      </c>
      <c r="AB38" s="397">
        <v>99109</v>
      </c>
      <c r="AC38" s="397">
        <v>60782</v>
      </c>
      <c r="AD38" s="397">
        <v>5476</v>
      </c>
      <c r="AE38" s="397">
        <v>22702</v>
      </c>
      <c r="AF38" s="397">
        <v>62683</v>
      </c>
      <c r="AG38" s="397">
        <v>62326</v>
      </c>
      <c r="AH38" s="397">
        <v>28031</v>
      </c>
      <c r="AI38" s="397">
        <f t="shared" ref="AI38:AI41" si="68">AH38+AG38+AF38+AE38+AD38+AC38+AB38</f>
        <v>341109</v>
      </c>
      <c r="AJ38" s="397">
        <f t="shared" ref="AJ38:AJ41" si="69">AI38+AA38+V38</f>
        <v>662270</v>
      </c>
      <c r="AK38" s="397">
        <v>29193</v>
      </c>
      <c r="AL38" s="397">
        <f t="shared" ref="AL38:AL41" si="70">AJ38+AK38</f>
        <v>691463</v>
      </c>
      <c r="AM38" s="268">
        <v>5.47</v>
      </c>
      <c r="AN38" s="394" t="s">
        <v>2546</v>
      </c>
    </row>
    <row r="39" spans="1:40" s="170" customFormat="1" ht="12.75" customHeight="1">
      <c r="A39" s="413" t="s">
        <v>2547</v>
      </c>
      <c r="B39" s="311">
        <v>121627</v>
      </c>
      <c r="C39" s="311">
        <v>14363</v>
      </c>
      <c r="D39" s="311">
        <v>219757</v>
      </c>
      <c r="E39" s="311">
        <v>12291</v>
      </c>
      <c r="F39" s="311">
        <v>93003</v>
      </c>
      <c r="G39" s="311">
        <f t="shared" si="55"/>
        <v>339414</v>
      </c>
      <c r="H39" s="311">
        <v>140433</v>
      </c>
      <c r="I39" s="311">
        <v>80838</v>
      </c>
      <c r="J39" s="311">
        <v>11258</v>
      </c>
      <c r="K39" s="311">
        <v>31919</v>
      </c>
      <c r="L39" s="311">
        <v>91795</v>
      </c>
      <c r="M39" s="311">
        <v>77576</v>
      </c>
      <c r="N39" s="311">
        <v>52164</v>
      </c>
      <c r="O39" s="311">
        <f t="shared" si="56"/>
        <v>485983</v>
      </c>
      <c r="P39" s="311">
        <f t="shared" si="57"/>
        <v>947024</v>
      </c>
      <c r="Q39" s="311">
        <v>39441</v>
      </c>
      <c r="R39" s="311">
        <f t="shared" si="58"/>
        <v>986465</v>
      </c>
      <c r="S39" s="310">
        <v>15.41</v>
      </c>
      <c r="T39" s="370" t="s">
        <v>2547</v>
      </c>
      <c r="U39" s="413" t="s">
        <v>2547</v>
      </c>
      <c r="V39" s="311">
        <v>92178</v>
      </c>
      <c r="W39" s="311">
        <v>12518</v>
      </c>
      <c r="X39" s="311">
        <v>181051</v>
      </c>
      <c r="Y39" s="311">
        <v>8896</v>
      </c>
      <c r="Z39" s="311">
        <v>71215</v>
      </c>
      <c r="AA39" s="311">
        <f t="shared" si="67"/>
        <v>273680</v>
      </c>
      <c r="AB39" s="311">
        <v>111417</v>
      </c>
      <c r="AC39" s="311">
        <v>62353</v>
      </c>
      <c r="AD39" s="311">
        <v>7981</v>
      </c>
      <c r="AE39" s="311">
        <v>22946</v>
      </c>
      <c r="AF39" s="311">
        <v>65219</v>
      </c>
      <c r="AG39" s="311">
        <v>57818</v>
      </c>
      <c r="AH39" s="311">
        <v>36107</v>
      </c>
      <c r="AI39" s="311">
        <f t="shared" si="68"/>
        <v>363841</v>
      </c>
      <c r="AJ39" s="311">
        <f t="shared" si="69"/>
        <v>729699</v>
      </c>
      <c r="AK39" s="311">
        <v>30858</v>
      </c>
      <c r="AL39" s="311">
        <f t="shared" si="70"/>
        <v>760557</v>
      </c>
      <c r="AM39" s="310">
        <v>10.130000000000001</v>
      </c>
      <c r="AN39" s="370" t="s">
        <v>2547</v>
      </c>
    </row>
    <row r="40" spans="1:40" s="170" customFormat="1" ht="12.75" customHeight="1">
      <c r="A40" s="399" t="s">
        <v>2548</v>
      </c>
      <c r="B40" s="397">
        <v>95905</v>
      </c>
      <c r="C40" s="397">
        <v>17799</v>
      </c>
      <c r="D40" s="397">
        <v>235641</v>
      </c>
      <c r="E40" s="397">
        <v>12279</v>
      </c>
      <c r="F40" s="397">
        <v>108140</v>
      </c>
      <c r="G40" s="397">
        <f t="shared" si="55"/>
        <v>373859</v>
      </c>
      <c r="H40" s="397">
        <v>150921</v>
      </c>
      <c r="I40" s="397">
        <v>82760</v>
      </c>
      <c r="J40" s="397">
        <v>13282</v>
      </c>
      <c r="K40" s="397">
        <v>32710</v>
      </c>
      <c r="L40" s="397">
        <v>97120</v>
      </c>
      <c r="M40" s="397">
        <v>98153</v>
      </c>
      <c r="N40" s="397">
        <v>59696</v>
      </c>
      <c r="O40" s="397">
        <f t="shared" si="56"/>
        <v>534642</v>
      </c>
      <c r="P40" s="397">
        <f t="shared" si="57"/>
        <v>1004406</v>
      </c>
      <c r="Q40" s="397">
        <v>37900</v>
      </c>
      <c r="R40" s="397">
        <f t="shared" si="58"/>
        <v>1042306</v>
      </c>
      <c r="S40" s="268">
        <v>15.37</v>
      </c>
      <c r="T40" s="394" t="s">
        <v>2548</v>
      </c>
      <c r="U40" s="399" t="s">
        <v>2548</v>
      </c>
      <c r="V40" s="397">
        <v>72790</v>
      </c>
      <c r="W40" s="397">
        <v>15474</v>
      </c>
      <c r="X40" s="397">
        <v>194352</v>
      </c>
      <c r="Y40" s="397">
        <v>8694</v>
      </c>
      <c r="Z40" s="397">
        <v>80452</v>
      </c>
      <c r="AA40" s="397">
        <f t="shared" si="67"/>
        <v>298972</v>
      </c>
      <c r="AB40" s="397">
        <v>117892</v>
      </c>
      <c r="AC40" s="397">
        <v>63552</v>
      </c>
      <c r="AD40" s="397">
        <v>9351</v>
      </c>
      <c r="AE40" s="397">
        <v>23332</v>
      </c>
      <c r="AF40" s="397">
        <v>66064</v>
      </c>
      <c r="AG40" s="397">
        <v>72857</v>
      </c>
      <c r="AH40" s="397">
        <v>40441</v>
      </c>
      <c r="AI40" s="397">
        <f t="shared" si="68"/>
        <v>393489</v>
      </c>
      <c r="AJ40" s="397">
        <f t="shared" si="69"/>
        <v>765251</v>
      </c>
      <c r="AK40" s="397">
        <v>29998</v>
      </c>
      <c r="AL40" s="397">
        <f t="shared" si="70"/>
        <v>795249</v>
      </c>
      <c r="AM40" s="268">
        <v>10.49</v>
      </c>
      <c r="AN40" s="394" t="s">
        <v>2548</v>
      </c>
    </row>
    <row r="41" spans="1:40" s="170" customFormat="1" ht="12.75" customHeight="1">
      <c r="A41" s="413" t="s">
        <v>2549</v>
      </c>
      <c r="B41" s="311">
        <v>129107</v>
      </c>
      <c r="C41" s="311">
        <v>14285</v>
      </c>
      <c r="D41" s="311">
        <v>215395</v>
      </c>
      <c r="E41" s="311">
        <v>15625</v>
      </c>
      <c r="F41" s="311">
        <v>90082</v>
      </c>
      <c r="G41" s="311">
        <f t="shared" si="55"/>
        <v>335387</v>
      </c>
      <c r="H41" s="311">
        <v>152557</v>
      </c>
      <c r="I41" s="311">
        <v>84852</v>
      </c>
      <c r="J41" s="311">
        <v>12373</v>
      </c>
      <c r="K41" s="311">
        <v>34131</v>
      </c>
      <c r="L41" s="311">
        <v>102193</v>
      </c>
      <c r="M41" s="311">
        <v>117846</v>
      </c>
      <c r="N41" s="311">
        <v>54280</v>
      </c>
      <c r="O41" s="311">
        <f t="shared" si="56"/>
        <v>558232</v>
      </c>
      <c r="P41" s="311">
        <f t="shared" si="57"/>
        <v>1022726</v>
      </c>
      <c r="Q41" s="311">
        <v>41101</v>
      </c>
      <c r="R41" s="311">
        <f t="shared" si="58"/>
        <v>1063827</v>
      </c>
      <c r="S41" s="310">
        <v>8.9700000000000006</v>
      </c>
      <c r="T41" s="370" t="s">
        <v>2549</v>
      </c>
      <c r="U41" s="413" t="s">
        <v>2549</v>
      </c>
      <c r="V41" s="311">
        <v>96445</v>
      </c>
      <c r="W41" s="311">
        <v>12366</v>
      </c>
      <c r="X41" s="311">
        <v>172950</v>
      </c>
      <c r="Y41" s="311">
        <v>10860</v>
      </c>
      <c r="Z41" s="311">
        <v>66045</v>
      </c>
      <c r="AA41" s="311">
        <f t="shared" si="67"/>
        <v>262221</v>
      </c>
      <c r="AB41" s="311">
        <v>116899</v>
      </c>
      <c r="AC41" s="311">
        <v>64603</v>
      </c>
      <c r="AD41" s="311">
        <v>8620</v>
      </c>
      <c r="AE41" s="311">
        <v>24081</v>
      </c>
      <c r="AF41" s="311">
        <v>69264</v>
      </c>
      <c r="AG41" s="311">
        <v>85766</v>
      </c>
      <c r="AH41" s="311">
        <v>35975</v>
      </c>
      <c r="AI41" s="311">
        <f t="shared" si="68"/>
        <v>405208</v>
      </c>
      <c r="AJ41" s="311">
        <f t="shared" si="69"/>
        <v>763874</v>
      </c>
      <c r="AK41" s="311">
        <v>24007</v>
      </c>
      <c r="AL41" s="311">
        <f t="shared" si="70"/>
        <v>787881</v>
      </c>
      <c r="AM41" s="310">
        <v>2.58</v>
      </c>
      <c r="AN41" s="370" t="s">
        <v>2549</v>
      </c>
    </row>
    <row r="42" spans="1:40" s="170" customFormat="1" ht="12.75" customHeight="1">
      <c r="A42" s="936" t="s">
        <v>2300</v>
      </c>
      <c r="B42" s="397">
        <f>B43+B44+B45+B46</f>
        <v>486315</v>
      </c>
      <c r="C42" s="397">
        <f>C43+C44+C45+C46</f>
        <v>62943</v>
      </c>
      <c r="D42" s="397">
        <f t="shared" ref="D42:F42" si="71">D43+D44+D45+D46</f>
        <v>1009257</v>
      </c>
      <c r="E42" s="397">
        <f t="shared" si="71"/>
        <v>59668</v>
      </c>
      <c r="F42" s="397">
        <f t="shared" si="71"/>
        <v>412549</v>
      </c>
      <c r="G42" s="397">
        <f>C42+D42+E42+F42</f>
        <v>1544417</v>
      </c>
      <c r="H42" s="397">
        <f>H43+H44+H45+H46</f>
        <v>640466</v>
      </c>
      <c r="I42" s="397">
        <f t="shared" ref="I42:N42" si="72">I43+I44+I45+I46</f>
        <v>361066</v>
      </c>
      <c r="J42" s="397">
        <f t="shared" si="72"/>
        <v>51052</v>
      </c>
      <c r="K42" s="397">
        <f t="shared" si="72"/>
        <v>129539</v>
      </c>
      <c r="L42" s="397">
        <f t="shared" si="72"/>
        <v>411791</v>
      </c>
      <c r="M42" s="397">
        <f t="shared" si="72"/>
        <v>430037</v>
      </c>
      <c r="N42" s="397">
        <f t="shared" si="72"/>
        <v>226726</v>
      </c>
      <c r="O42" s="397">
        <f>N42+M42+L42+K42+J42+I42+H42</f>
        <v>2250677</v>
      </c>
      <c r="P42" s="397">
        <f>O42+G42+B42</f>
        <v>4281409</v>
      </c>
      <c r="Q42" s="397">
        <f>Q43+Q44+Q45+Q46</f>
        <v>164970</v>
      </c>
      <c r="R42" s="397">
        <f>P42+Q42</f>
        <v>4446379</v>
      </c>
      <c r="S42" s="268">
        <v>11.77</v>
      </c>
      <c r="T42" s="377" t="s">
        <v>2300</v>
      </c>
      <c r="U42" s="936" t="s">
        <v>2300</v>
      </c>
      <c r="V42" s="397">
        <f>V43+V44+V45+V46</f>
        <v>347964</v>
      </c>
      <c r="W42" s="397">
        <f>W43+W44+W45+W46</f>
        <v>54301</v>
      </c>
      <c r="X42" s="397">
        <f t="shared" ref="X42:Z42" si="73">X43+X44+X45+X46</f>
        <v>779953</v>
      </c>
      <c r="Y42" s="397">
        <f t="shared" si="73"/>
        <v>42058</v>
      </c>
      <c r="Z42" s="397">
        <f t="shared" si="73"/>
        <v>296480</v>
      </c>
      <c r="AA42" s="397">
        <f>W42+X42+Y42+Z42</f>
        <v>1172792</v>
      </c>
      <c r="AB42" s="397">
        <f>AB43+AB44+AB45+AB46</f>
        <v>474948</v>
      </c>
      <c r="AC42" s="397">
        <f t="shared" ref="AC42:AH42" si="74">AC43+AC44+AC45+AC46</f>
        <v>266132</v>
      </c>
      <c r="AD42" s="397">
        <f t="shared" si="74"/>
        <v>33278</v>
      </c>
      <c r="AE42" s="397">
        <f t="shared" si="74"/>
        <v>93062</v>
      </c>
      <c r="AF42" s="397">
        <f t="shared" si="74"/>
        <v>273929</v>
      </c>
      <c r="AG42" s="397">
        <f t="shared" si="74"/>
        <v>299485</v>
      </c>
      <c r="AH42" s="397">
        <f t="shared" si="74"/>
        <v>145281</v>
      </c>
      <c r="AI42" s="397">
        <f>AH42+AG42+AF42+AE42+AD42+AC42+AB42</f>
        <v>1586115</v>
      </c>
      <c r="AJ42" s="397">
        <f>AI42+AA42+V42</f>
        <v>3106871</v>
      </c>
      <c r="AK42" s="397">
        <f>AK43+AK44+AK45+AK46</f>
        <v>114854</v>
      </c>
      <c r="AL42" s="397">
        <f>AJ42+AK42</f>
        <v>3221725</v>
      </c>
      <c r="AM42" s="268">
        <v>6.03</v>
      </c>
      <c r="AN42" s="377" t="s">
        <v>2300</v>
      </c>
    </row>
    <row r="43" spans="1:40" s="170" customFormat="1" ht="12.75" customHeight="1">
      <c r="A43" s="413" t="s">
        <v>2546</v>
      </c>
      <c r="B43" s="311">
        <v>109774</v>
      </c>
      <c r="C43" s="311">
        <v>13389</v>
      </c>
      <c r="D43" s="311">
        <v>222218</v>
      </c>
      <c r="E43" s="311">
        <v>16529</v>
      </c>
      <c r="F43" s="311">
        <v>83233</v>
      </c>
      <c r="G43" s="311">
        <f t="shared" ref="G43:G46" si="75">C43+D43+E43+F43</f>
        <v>335369</v>
      </c>
      <c r="H43" s="311">
        <v>153910</v>
      </c>
      <c r="I43" s="311">
        <v>86025</v>
      </c>
      <c r="J43" s="311">
        <v>12043</v>
      </c>
      <c r="K43" s="311">
        <v>30779</v>
      </c>
      <c r="L43" s="311">
        <v>95782</v>
      </c>
      <c r="M43" s="311">
        <v>91087</v>
      </c>
      <c r="N43" s="311">
        <v>52581</v>
      </c>
      <c r="O43" s="311">
        <f t="shared" ref="O43:O46" si="76">N43+M43+L43+K43+J43+I43+H43</f>
        <v>522207</v>
      </c>
      <c r="P43" s="311">
        <f t="shared" ref="P43:P46" si="77">O43+G43+B43</f>
        <v>967350</v>
      </c>
      <c r="Q43" s="311">
        <v>38135</v>
      </c>
      <c r="R43" s="311">
        <f t="shared" ref="R43:R46" si="78">P43+Q43</f>
        <v>1005485</v>
      </c>
      <c r="S43" s="310">
        <v>14.59</v>
      </c>
      <c r="T43" s="370" t="s">
        <v>2546</v>
      </c>
      <c r="U43" s="413" t="s">
        <v>2546</v>
      </c>
      <c r="V43" s="311">
        <v>80777</v>
      </c>
      <c r="W43" s="311">
        <v>12084</v>
      </c>
      <c r="X43" s="311">
        <v>177076</v>
      </c>
      <c r="Y43" s="311">
        <v>11798</v>
      </c>
      <c r="Z43" s="311">
        <v>62379</v>
      </c>
      <c r="AA43" s="311">
        <f t="shared" ref="AA43:AA46" si="79">W43+X43+Y43+Z43</f>
        <v>263337</v>
      </c>
      <c r="AB43" s="311">
        <v>117244</v>
      </c>
      <c r="AC43" s="311">
        <v>65488</v>
      </c>
      <c r="AD43" s="311">
        <v>8074</v>
      </c>
      <c r="AE43" s="311">
        <v>22703</v>
      </c>
      <c r="AF43" s="311">
        <v>67142</v>
      </c>
      <c r="AG43" s="311">
        <v>65023</v>
      </c>
      <c r="AH43" s="311">
        <v>34580</v>
      </c>
      <c r="AI43" s="311">
        <f t="shared" ref="AI43:AI46" si="80">AH43+AG43+AF43+AE43+AD43+AC43+AB43</f>
        <v>380254</v>
      </c>
      <c r="AJ43" s="311">
        <f t="shared" ref="AJ43:AJ46" si="81">AI43+AA43+V43</f>
        <v>724368</v>
      </c>
      <c r="AK43" s="311">
        <v>29756</v>
      </c>
      <c r="AL43" s="311">
        <f t="shared" ref="AL43:AL46" si="82">AJ43+AK43</f>
        <v>754124</v>
      </c>
      <c r="AM43" s="310">
        <v>9.3699999999999992</v>
      </c>
      <c r="AN43" s="370" t="s">
        <v>2546</v>
      </c>
    </row>
    <row r="44" spans="1:40" s="170" customFormat="1" ht="12.75" customHeight="1">
      <c r="A44" s="399" t="s">
        <v>2547</v>
      </c>
      <c r="B44" s="397">
        <v>133969</v>
      </c>
      <c r="C44" s="397">
        <v>14703</v>
      </c>
      <c r="D44" s="397">
        <v>258452</v>
      </c>
      <c r="E44" s="397">
        <v>13419</v>
      </c>
      <c r="F44" s="397">
        <v>106385</v>
      </c>
      <c r="G44" s="397">
        <f t="shared" si="75"/>
        <v>392959</v>
      </c>
      <c r="H44" s="397">
        <v>158098</v>
      </c>
      <c r="I44" s="397">
        <v>89986</v>
      </c>
      <c r="J44" s="397">
        <v>12891</v>
      </c>
      <c r="K44" s="397">
        <v>31919</v>
      </c>
      <c r="L44" s="397">
        <v>99705</v>
      </c>
      <c r="M44" s="397">
        <v>96598</v>
      </c>
      <c r="N44" s="397">
        <v>56019</v>
      </c>
      <c r="O44" s="397">
        <f t="shared" si="76"/>
        <v>545216</v>
      </c>
      <c r="P44" s="397">
        <f t="shared" si="77"/>
        <v>1072144</v>
      </c>
      <c r="Q44" s="397">
        <v>43908</v>
      </c>
      <c r="R44" s="397">
        <f t="shared" si="78"/>
        <v>1116052</v>
      </c>
      <c r="S44" s="268">
        <v>13.15</v>
      </c>
      <c r="T44" s="394" t="s">
        <v>2547</v>
      </c>
      <c r="U44" s="399" t="s">
        <v>2547</v>
      </c>
      <c r="V44" s="397">
        <v>95691</v>
      </c>
      <c r="W44" s="397">
        <v>12998</v>
      </c>
      <c r="X44" s="397">
        <v>202595</v>
      </c>
      <c r="Y44" s="397">
        <v>9603</v>
      </c>
      <c r="Z44" s="397">
        <v>78266</v>
      </c>
      <c r="AA44" s="397">
        <f t="shared" si="79"/>
        <v>303462</v>
      </c>
      <c r="AB44" s="397">
        <v>117514</v>
      </c>
      <c r="AC44" s="397">
        <v>65922</v>
      </c>
      <c r="AD44" s="397">
        <v>8421</v>
      </c>
      <c r="AE44" s="397">
        <v>22946</v>
      </c>
      <c r="AF44" s="397">
        <v>67904</v>
      </c>
      <c r="AG44" s="397">
        <v>67467</v>
      </c>
      <c r="AH44" s="397">
        <v>36522</v>
      </c>
      <c r="AI44" s="397">
        <f t="shared" si="80"/>
        <v>386696</v>
      </c>
      <c r="AJ44" s="397">
        <f t="shared" si="81"/>
        <v>785849</v>
      </c>
      <c r="AK44" s="397">
        <v>31485</v>
      </c>
      <c r="AL44" s="397">
        <f t="shared" si="82"/>
        <v>817334</v>
      </c>
      <c r="AM44" s="268">
        <v>7.77</v>
      </c>
      <c r="AN44" s="394" t="s">
        <v>2547</v>
      </c>
    </row>
    <row r="45" spans="1:40" s="170" customFormat="1" ht="12.75" customHeight="1">
      <c r="A45" s="413" t="s">
        <v>2548</v>
      </c>
      <c r="B45" s="311">
        <v>102079</v>
      </c>
      <c r="C45" s="311">
        <v>18685</v>
      </c>
      <c r="D45" s="311">
        <v>266149</v>
      </c>
      <c r="E45" s="311">
        <v>13368</v>
      </c>
      <c r="F45" s="311">
        <v>120006</v>
      </c>
      <c r="G45" s="311">
        <f t="shared" si="75"/>
        <v>418208</v>
      </c>
      <c r="H45" s="311">
        <v>151869</v>
      </c>
      <c r="I45" s="311">
        <v>92617</v>
      </c>
      <c r="J45" s="311">
        <v>13516</v>
      </c>
      <c r="K45" s="311">
        <v>32710</v>
      </c>
      <c r="L45" s="311">
        <v>106145</v>
      </c>
      <c r="M45" s="311">
        <v>110890</v>
      </c>
      <c r="N45" s="311">
        <v>59170</v>
      </c>
      <c r="O45" s="311">
        <f t="shared" si="76"/>
        <v>566917</v>
      </c>
      <c r="P45" s="311">
        <f t="shared" si="77"/>
        <v>1087204</v>
      </c>
      <c r="Q45" s="311">
        <v>37919</v>
      </c>
      <c r="R45" s="311">
        <f t="shared" si="78"/>
        <v>1125123</v>
      </c>
      <c r="S45" s="310">
        <v>8.0299999999999994</v>
      </c>
      <c r="T45" s="370" t="s">
        <v>2548</v>
      </c>
      <c r="U45" s="413" t="s">
        <v>2548</v>
      </c>
      <c r="V45" s="311">
        <v>73249</v>
      </c>
      <c r="W45" s="311">
        <v>16032</v>
      </c>
      <c r="X45" s="311">
        <v>203404</v>
      </c>
      <c r="Y45" s="311">
        <v>9470</v>
      </c>
      <c r="Z45" s="311">
        <v>85714</v>
      </c>
      <c r="AA45" s="311">
        <f t="shared" si="79"/>
        <v>314620</v>
      </c>
      <c r="AB45" s="311">
        <v>112016</v>
      </c>
      <c r="AC45" s="311">
        <v>67124</v>
      </c>
      <c r="AD45" s="311">
        <v>8758</v>
      </c>
      <c r="AE45" s="311">
        <v>23332</v>
      </c>
      <c r="AF45" s="311">
        <v>68777</v>
      </c>
      <c r="AG45" s="311">
        <v>77407</v>
      </c>
      <c r="AH45" s="311">
        <v>38274</v>
      </c>
      <c r="AI45" s="311">
        <f t="shared" si="80"/>
        <v>395688</v>
      </c>
      <c r="AJ45" s="311">
        <f t="shared" si="81"/>
        <v>783557</v>
      </c>
      <c r="AK45" s="311">
        <v>28000</v>
      </c>
      <c r="AL45" s="311">
        <f t="shared" si="82"/>
        <v>811557</v>
      </c>
      <c r="AM45" s="310">
        <v>2.04</v>
      </c>
      <c r="AN45" s="370" t="s">
        <v>2548</v>
      </c>
    </row>
    <row r="46" spans="1:40" s="170" customFormat="1" ht="12.75" customHeight="1" thickBot="1">
      <c r="A46" s="1270" t="s">
        <v>2549</v>
      </c>
      <c r="B46" s="1716">
        <v>140493</v>
      </c>
      <c r="C46" s="1716">
        <v>16166</v>
      </c>
      <c r="D46" s="1716">
        <v>262438</v>
      </c>
      <c r="E46" s="1716">
        <v>16352</v>
      </c>
      <c r="F46" s="1716">
        <v>102925</v>
      </c>
      <c r="G46" s="1716">
        <f t="shared" si="75"/>
        <v>397881</v>
      </c>
      <c r="H46" s="1716">
        <v>176589</v>
      </c>
      <c r="I46" s="1716">
        <v>92438</v>
      </c>
      <c r="J46" s="1716">
        <v>12602</v>
      </c>
      <c r="K46" s="1716">
        <v>34131</v>
      </c>
      <c r="L46" s="1716">
        <v>110159</v>
      </c>
      <c r="M46" s="1716">
        <v>131462</v>
      </c>
      <c r="N46" s="1716">
        <v>58956</v>
      </c>
      <c r="O46" s="1716">
        <f t="shared" si="76"/>
        <v>616337</v>
      </c>
      <c r="P46" s="1716">
        <f t="shared" si="77"/>
        <v>1154711</v>
      </c>
      <c r="Q46" s="1716">
        <v>45008</v>
      </c>
      <c r="R46" s="1716">
        <f t="shared" si="78"/>
        <v>1199719</v>
      </c>
      <c r="S46" s="749">
        <v>12.73</v>
      </c>
      <c r="T46" s="1718" t="s">
        <v>2549</v>
      </c>
      <c r="U46" s="1270" t="s">
        <v>2549</v>
      </c>
      <c r="V46" s="1716">
        <v>98247</v>
      </c>
      <c r="W46" s="1716">
        <v>13187</v>
      </c>
      <c r="X46" s="1716">
        <v>196878</v>
      </c>
      <c r="Y46" s="1716">
        <v>11187</v>
      </c>
      <c r="Z46" s="1716">
        <v>70121</v>
      </c>
      <c r="AA46" s="1716">
        <f t="shared" si="79"/>
        <v>291373</v>
      </c>
      <c r="AB46" s="1716">
        <v>128174</v>
      </c>
      <c r="AC46" s="1716">
        <v>67598</v>
      </c>
      <c r="AD46" s="1716">
        <v>8025</v>
      </c>
      <c r="AE46" s="1716">
        <v>24081</v>
      </c>
      <c r="AF46" s="1716">
        <v>70106</v>
      </c>
      <c r="AG46" s="1716">
        <v>89588</v>
      </c>
      <c r="AH46" s="1716">
        <v>35905</v>
      </c>
      <c r="AI46" s="1716">
        <f t="shared" si="80"/>
        <v>423477</v>
      </c>
      <c r="AJ46" s="1716">
        <f t="shared" si="81"/>
        <v>813097</v>
      </c>
      <c r="AK46" s="1716">
        <v>25613</v>
      </c>
      <c r="AL46" s="1716">
        <f t="shared" si="82"/>
        <v>838710</v>
      </c>
      <c r="AM46" s="749">
        <v>5.78</v>
      </c>
      <c r="AN46" s="1718" t="s">
        <v>2549</v>
      </c>
    </row>
    <row r="47" spans="1:40" ht="10.5" customHeight="1">
      <c r="A47" s="747" t="s">
        <v>2183</v>
      </c>
      <c r="B47" s="7"/>
      <c r="C47" s="7"/>
      <c r="D47" s="7"/>
      <c r="E47" s="55"/>
      <c r="F47" s="775"/>
      <c r="G47" s="639" t="s">
        <v>2480</v>
      </c>
      <c r="H47" s="775"/>
      <c r="I47" s="775"/>
      <c r="J47" s="775"/>
      <c r="K47" s="775"/>
      <c r="L47" s="775"/>
      <c r="M47" s="775"/>
      <c r="N47" s="775"/>
      <c r="O47" s="775"/>
      <c r="P47" s="775"/>
      <c r="Q47" s="775"/>
      <c r="R47" s="775"/>
      <c r="S47" s="775"/>
      <c r="T47" s="775"/>
      <c r="U47" s="775"/>
      <c r="V47" s="775"/>
      <c r="W47" s="775"/>
      <c r="X47" s="775"/>
      <c r="Y47" s="775"/>
      <c r="Z47" s="775"/>
      <c r="AA47" s="775"/>
      <c r="AB47" s="775"/>
      <c r="AC47" s="775"/>
      <c r="AD47" s="775"/>
      <c r="AE47" s="775"/>
      <c r="AF47" s="775"/>
      <c r="AG47" s="775"/>
      <c r="AH47" s="775"/>
      <c r="AI47" s="775"/>
      <c r="AJ47" s="775"/>
      <c r="AK47" s="775"/>
      <c r="AL47" s="775"/>
      <c r="AM47" s="775"/>
    </row>
    <row r="48" spans="1:40" ht="9.75" customHeight="1">
      <c r="D48" s="775"/>
      <c r="H48" s="1525"/>
    </row>
    <row r="49" spans="2:18" ht="9.75" customHeight="1">
      <c r="B49" s="775"/>
      <c r="C49" s="775"/>
      <c r="D49" s="775"/>
      <c r="E49" s="775"/>
      <c r="F49" s="775"/>
      <c r="G49" s="775"/>
      <c r="H49" s="775"/>
      <c r="I49" s="775"/>
      <c r="J49" s="775"/>
      <c r="K49" s="775"/>
      <c r="L49" s="775"/>
      <c r="M49" s="775"/>
      <c r="N49" s="775"/>
      <c r="O49" s="775"/>
      <c r="P49" s="775"/>
      <c r="Q49" s="775"/>
      <c r="R49" s="775"/>
    </row>
    <row r="50" spans="2:18" ht="9.75" customHeight="1"/>
    <row r="51" spans="2:18" ht="9.75" customHeight="1"/>
    <row r="52" spans="2:18" ht="9.75" customHeight="1"/>
    <row r="53" spans="2:18" ht="9.75" customHeight="1"/>
    <row r="54" spans="2:18" ht="9.75" customHeight="1"/>
    <row r="55" spans="2:18" ht="9.75" customHeight="1"/>
    <row r="56" spans="2:18" ht="9.75" customHeight="1"/>
    <row r="57" spans="2:18" ht="9.75" customHeight="1"/>
    <row r="58" spans="2:18" ht="9.75" customHeight="1"/>
    <row r="59" spans="2:18" ht="9.75" customHeight="1"/>
    <row r="60" spans="2:18" ht="9.75" customHeight="1"/>
    <row r="61" spans="2:18" ht="9.75" customHeight="1"/>
    <row r="62" spans="2:18" ht="9.75" customHeight="1"/>
    <row r="63" spans="2:18" ht="9.75" customHeight="1"/>
    <row r="64" spans="2:18" ht="9.75" customHeight="1"/>
    <row r="65" ht="9.75" customHeight="1"/>
    <row r="66" ht="9.75" customHeight="1"/>
  </sheetData>
  <mergeCells count="26">
    <mergeCell ref="D1:J1"/>
    <mergeCell ref="A6:C6"/>
    <mergeCell ref="U6:W6"/>
    <mergeCell ref="J2:L2"/>
    <mergeCell ref="R2:T2"/>
    <mergeCell ref="C3:G3"/>
    <mergeCell ref="H3:O3"/>
    <mergeCell ref="A3:A5"/>
    <mergeCell ref="P3:P4"/>
    <mergeCell ref="Q3:Q4"/>
    <mergeCell ref="Y1:AD1"/>
    <mergeCell ref="AE1:AN1"/>
    <mergeCell ref="AL2:AN2"/>
    <mergeCell ref="K1:T1"/>
    <mergeCell ref="AM3:AM4"/>
    <mergeCell ref="AN3:AN5"/>
    <mergeCell ref="W3:AA3"/>
    <mergeCell ref="AB3:AI3"/>
    <mergeCell ref="AJ3:AJ4"/>
    <mergeCell ref="AK3:AK4"/>
    <mergeCell ref="AL3:AL4"/>
    <mergeCell ref="AD2:AF2"/>
    <mergeCell ref="R3:R4"/>
    <mergeCell ref="S3:S4"/>
    <mergeCell ref="T3:T5"/>
    <mergeCell ref="U3:U5"/>
  </mergeCells>
  <pageMargins left="0.47199999999999998" right="0.47199999999999998" top="0.51200000000000001" bottom="0.25" header="0" footer="0"/>
  <pageSetup paperSize="11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G45" activePane="bottomRight" state="frozen"/>
      <selection activeCell="F85" sqref="F85"/>
      <selection pane="topRight" activeCell="F85" sqref="F85"/>
      <selection pane="bottomLeft" activeCell="F85" sqref="F85"/>
      <selection pane="bottomRight" activeCell="P54" sqref="P54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20" t="s">
        <v>250</v>
      </c>
      <c r="C1" s="1920"/>
      <c r="D1" s="1920"/>
      <c r="E1" s="1920"/>
      <c r="F1" s="1920"/>
      <c r="G1" s="1920"/>
      <c r="H1" s="1920"/>
      <c r="I1" s="1920"/>
      <c r="J1" s="1920"/>
      <c r="K1" s="1920"/>
      <c r="L1" s="2294" t="s">
        <v>251</v>
      </c>
      <c r="M1" s="2294"/>
      <c r="N1" s="2294"/>
      <c r="O1" s="2294"/>
      <c r="P1" s="36"/>
      <c r="Q1" s="36"/>
      <c r="R1" s="36"/>
      <c r="U1" s="1920" t="s">
        <v>2554</v>
      </c>
      <c r="V1" s="1920"/>
      <c r="W1" s="1920"/>
    </row>
    <row r="2" spans="1:24" ht="12" customHeight="1">
      <c r="B2" s="1808"/>
      <c r="C2" s="1808"/>
      <c r="D2" s="2291"/>
      <c r="E2" s="2291"/>
      <c r="F2" s="97"/>
      <c r="G2" s="97"/>
      <c r="H2" s="97"/>
      <c r="I2" s="97"/>
      <c r="J2" s="2292" t="s">
        <v>2138</v>
      </c>
      <c r="K2" s="2292"/>
      <c r="L2" s="2295" t="s">
        <v>2139</v>
      </c>
      <c r="M2" s="2295"/>
      <c r="N2" s="2295"/>
      <c r="O2" s="2295"/>
      <c r="P2" s="2295"/>
      <c r="S2" s="1808"/>
      <c r="T2" s="1808"/>
      <c r="V2" s="2293" t="s">
        <v>1639</v>
      </c>
      <c r="W2" s="2293"/>
    </row>
    <row r="3" spans="1:24" ht="13.5" customHeight="1">
      <c r="A3" s="2296" t="s">
        <v>498</v>
      </c>
      <c r="B3" s="2290" t="s">
        <v>252</v>
      </c>
      <c r="C3" s="2290" t="s">
        <v>253</v>
      </c>
      <c r="D3" s="2290" t="s">
        <v>254</v>
      </c>
      <c r="E3" s="2290" t="s">
        <v>276</v>
      </c>
      <c r="F3" s="2290" t="s">
        <v>277</v>
      </c>
      <c r="G3" s="2290" t="s">
        <v>285</v>
      </c>
      <c r="H3" s="2290" t="s">
        <v>255</v>
      </c>
      <c r="I3" s="2290" t="s">
        <v>256</v>
      </c>
      <c r="J3" s="2290" t="s">
        <v>257</v>
      </c>
      <c r="K3" s="2290" t="s">
        <v>1457</v>
      </c>
      <c r="L3" s="2290" t="s">
        <v>284</v>
      </c>
      <c r="M3" s="2290" t="s">
        <v>258</v>
      </c>
      <c r="N3" s="2290" t="s">
        <v>259</v>
      </c>
      <c r="O3" s="2290" t="s">
        <v>863</v>
      </c>
      <c r="P3" s="2290" t="s">
        <v>279</v>
      </c>
      <c r="Q3" s="2290" t="s">
        <v>864</v>
      </c>
      <c r="R3" s="2290" t="s">
        <v>1458</v>
      </c>
      <c r="S3" s="2299" t="s">
        <v>260</v>
      </c>
      <c r="T3" s="2300"/>
      <c r="U3" s="2300"/>
      <c r="V3" s="2300"/>
      <c r="W3" s="2301"/>
    </row>
    <row r="4" spans="1:24" s="98" customFormat="1" ht="74.25" customHeight="1">
      <c r="A4" s="2297"/>
      <c r="B4" s="2290"/>
      <c r="C4" s="2290"/>
      <c r="D4" s="2290"/>
      <c r="E4" s="2290"/>
      <c r="F4" s="2290"/>
      <c r="G4" s="2290"/>
      <c r="H4" s="2290"/>
      <c r="I4" s="2290"/>
      <c r="J4" s="2290"/>
      <c r="K4" s="2290"/>
      <c r="L4" s="2290"/>
      <c r="M4" s="2290"/>
      <c r="N4" s="2290"/>
      <c r="O4" s="2290"/>
      <c r="P4" s="2290"/>
      <c r="Q4" s="2290"/>
      <c r="R4" s="2290"/>
      <c r="S4" s="2302" t="s">
        <v>252</v>
      </c>
      <c r="T4" s="2303"/>
      <c r="U4" s="1813" t="s">
        <v>258</v>
      </c>
      <c r="V4" s="1514" t="s">
        <v>261</v>
      </c>
      <c r="W4" s="1514" t="s">
        <v>278</v>
      </c>
    </row>
    <row r="5" spans="1:24" s="101" customFormat="1" ht="9.75" customHeight="1">
      <c r="A5" s="2298"/>
      <c r="B5" s="1814">
        <v>1</v>
      </c>
      <c r="C5" s="1814">
        <v>2</v>
      </c>
      <c r="D5" s="1814">
        <v>3</v>
      </c>
      <c r="E5" s="1814">
        <v>4</v>
      </c>
      <c r="F5" s="1814">
        <v>5</v>
      </c>
      <c r="G5" s="1814">
        <v>6</v>
      </c>
      <c r="H5" s="1814">
        <v>7</v>
      </c>
      <c r="I5" s="1814">
        <v>8</v>
      </c>
      <c r="J5" s="1814">
        <v>9</v>
      </c>
      <c r="K5" s="1814">
        <v>10</v>
      </c>
      <c r="L5" s="1814">
        <v>11</v>
      </c>
      <c r="M5" s="1814">
        <v>12</v>
      </c>
      <c r="N5" s="1814">
        <v>13</v>
      </c>
      <c r="O5" s="1814">
        <v>14</v>
      </c>
      <c r="P5" s="1814">
        <v>15</v>
      </c>
      <c r="Q5" s="1814">
        <v>16</v>
      </c>
      <c r="R5" s="1814">
        <v>17</v>
      </c>
      <c r="S5" s="2304">
        <v>18</v>
      </c>
      <c r="T5" s="2304"/>
      <c r="U5" s="1814">
        <v>19</v>
      </c>
      <c r="V5" s="1814">
        <v>20</v>
      </c>
      <c r="W5" s="1814">
        <v>21</v>
      </c>
    </row>
    <row r="6" spans="1:24" s="101" customFormat="1" ht="10.5" customHeight="1">
      <c r="A6" s="2305" t="s">
        <v>2140</v>
      </c>
      <c r="B6" s="2306"/>
      <c r="C6" s="2306"/>
      <c r="D6" s="1166"/>
      <c r="E6" s="1166"/>
      <c r="F6" s="1166"/>
      <c r="G6" s="1166"/>
      <c r="H6" s="1166"/>
      <c r="I6" s="1166"/>
      <c r="J6" s="1166"/>
      <c r="K6" s="1166"/>
      <c r="L6" s="1166"/>
      <c r="M6" s="1166"/>
      <c r="N6" s="1166"/>
      <c r="O6" s="1166"/>
      <c r="P6" s="1166"/>
      <c r="Q6" s="1166"/>
      <c r="R6" s="1166"/>
      <c r="S6" s="1166"/>
      <c r="T6" s="1166"/>
      <c r="U6" s="1166"/>
      <c r="V6" s="1166"/>
      <c r="W6" s="1166"/>
    </row>
    <row r="7" spans="1:24" s="98" customFormat="1" ht="10.5" customHeight="1">
      <c r="A7" s="341" t="s">
        <v>575</v>
      </c>
      <c r="B7" s="311">
        <v>482337</v>
      </c>
      <c r="C7" s="616">
        <v>509545</v>
      </c>
      <c r="D7" s="616">
        <v>3653</v>
      </c>
      <c r="E7" s="616">
        <v>513197</v>
      </c>
      <c r="F7" s="616">
        <v>378940</v>
      </c>
      <c r="G7" s="310">
        <f>(F7/B7)*100</f>
        <v>78.563328129502821</v>
      </c>
      <c r="H7" s="616">
        <v>103397</v>
      </c>
      <c r="I7" s="616">
        <v>134257</v>
      </c>
      <c r="J7" s="310">
        <f>(I7/B7)*100</f>
        <v>27.834688195183038</v>
      </c>
      <c r="K7" s="616">
        <v>126103</v>
      </c>
      <c r="L7" s="310">
        <f>(K7/B7)*100</f>
        <v>26.144168910948157</v>
      </c>
      <c r="M7" s="615" t="s">
        <v>1195</v>
      </c>
      <c r="N7" s="615" t="s">
        <v>1200</v>
      </c>
      <c r="O7" s="615" t="s">
        <v>687</v>
      </c>
      <c r="P7" s="615" t="s">
        <v>1209</v>
      </c>
      <c r="Q7" s="1164">
        <f>(B7/M7)*100</f>
        <v>100</v>
      </c>
      <c r="R7" s="615" t="s">
        <v>1213</v>
      </c>
      <c r="S7" s="616">
        <v>34502</v>
      </c>
      <c r="T7" s="615"/>
      <c r="U7" s="615" t="s">
        <v>1219</v>
      </c>
      <c r="V7" s="616">
        <v>36448</v>
      </c>
      <c r="W7" s="615" t="s">
        <v>1218</v>
      </c>
      <c r="X7" s="911"/>
    </row>
    <row r="8" spans="1:24" s="261" customFormat="1" ht="10.5" customHeight="1">
      <c r="A8" s="265"/>
      <c r="B8" s="1167">
        <f>(B7/67.08)*10</f>
        <v>71904.740608228982</v>
      </c>
      <c r="C8" s="1167">
        <f>(C7/67.08)*10</f>
        <v>75960.793082886114</v>
      </c>
      <c r="D8" s="1167">
        <f>(D7/67.08)*10</f>
        <v>544.5736434108527</v>
      </c>
      <c r="E8" s="1167">
        <f>(E7/67.08)*10</f>
        <v>76505.217650566497</v>
      </c>
      <c r="F8" s="1167">
        <f>(F7/67.08)*10</f>
        <v>56490.757304710794</v>
      </c>
      <c r="G8" s="1167"/>
      <c r="H8" s="1167">
        <f>(H7/67.08)*10</f>
        <v>15413.983303518187</v>
      </c>
      <c r="I8" s="1167">
        <f>(I7/67.08)*10</f>
        <v>20014.460345855696</v>
      </c>
      <c r="J8" s="1167"/>
      <c r="K8" s="1167">
        <f>(K7/67.08)*10</f>
        <v>18798.896839594516</v>
      </c>
      <c r="L8" s="1168"/>
      <c r="M8" s="1168"/>
      <c r="N8" s="1168"/>
      <c r="O8" s="1168"/>
      <c r="P8" s="1168"/>
      <c r="Q8" s="1168"/>
      <c r="R8" s="1168"/>
      <c r="S8" s="1167">
        <f>S7/67.08</f>
        <v>514.34108527131787</v>
      </c>
      <c r="T8" s="1168"/>
      <c r="U8" s="1168"/>
      <c r="V8" s="1167">
        <f>V7/67.08</f>
        <v>543.35122242098987</v>
      </c>
      <c r="W8" s="1168"/>
      <c r="X8" s="1169"/>
    </row>
    <row r="9" spans="1:24" s="98" customFormat="1" ht="10.5" customHeight="1">
      <c r="A9" s="341" t="s">
        <v>584</v>
      </c>
      <c r="B9" s="311">
        <v>549800</v>
      </c>
      <c r="C9" s="616">
        <v>585075</v>
      </c>
      <c r="D9" s="616">
        <v>3989</v>
      </c>
      <c r="E9" s="616">
        <v>589064</v>
      </c>
      <c r="F9" s="616">
        <v>435731</v>
      </c>
      <c r="G9" s="310">
        <f>(F9/B9)*100</f>
        <v>79.252637322662792</v>
      </c>
      <c r="H9" s="616">
        <v>114069</v>
      </c>
      <c r="I9" s="616">
        <v>153333</v>
      </c>
      <c r="J9" s="310">
        <f>(I9/B9)*100</f>
        <v>27.888868679519824</v>
      </c>
      <c r="K9" s="616">
        <v>143929</v>
      </c>
      <c r="L9" s="310">
        <f>(K9/B9)*100</f>
        <v>26.178428519461622</v>
      </c>
      <c r="M9" s="615" t="s">
        <v>1196</v>
      </c>
      <c r="N9" s="615" t="s">
        <v>1201</v>
      </c>
      <c r="O9" s="615" t="s">
        <v>1205</v>
      </c>
      <c r="P9" s="615" t="s">
        <v>1210</v>
      </c>
      <c r="Q9" s="1164">
        <f>(B9/M9)*100</f>
        <v>106.47135943669718</v>
      </c>
      <c r="R9" s="615" t="s">
        <v>1214</v>
      </c>
      <c r="S9" s="616">
        <v>38773</v>
      </c>
      <c r="T9" s="615"/>
      <c r="U9" s="615" t="s">
        <v>1220</v>
      </c>
      <c r="V9" s="616">
        <v>41261</v>
      </c>
      <c r="W9" s="615" t="s">
        <v>1224</v>
      </c>
      <c r="X9" s="911"/>
    </row>
    <row r="10" spans="1:24" s="261" customFormat="1" ht="10.5" customHeight="1">
      <c r="A10" s="265"/>
      <c r="B10" s="1167">
        <f>(B9/69.03)*10</f>
        <v>79646.530493988117</v>
      </c>
      <c r="C10" s="1167">
        <f>(C9/69.03)*10</f>
        <v>84756.627553237719</v>
      </c>
      <c r="D10" s="1167">
        <f>(D9/69.03)*10</f>
        <v>577.86469650876427</v>
      </c>
      <c r="E10" s="1167">
        <f>(E9/69.03)*10</f>
        <v>85334.492249746487</v>
      </c>
      <c r="F10" s="1167">
        <f>(F9/69.03)*10</f>
        <v>63121.975952484427</v>
      </c>
      <c r="G10" s="1167"/>
      <c r="H10" s="1167">
        <f>(H9/69.03)*10</f>
        <v>16524.554541503694</v>
      </c>
      <c r="I10" s="1167">
        <f>(I9/69.03)*10</f>
        <v>22212.51629726206</v>
      </c>
      <c r="J10" s="1167"/>
      <c r="K10" s="1167">
        <f>(K9/69.03)*10</f>
        <v>20850.210053599883</v>
      </c>
      <c r="L10" s="1168"/>
      <c r="M10" s="1168"/>
      <c r="N10" s="1168"/>
      <c r="O10" s="1168"/>
      <c r="P10" s="1168"/>
      <c r="Q10" s="1168"/>
      <c r="R10" s="1168"/>
      <c r="S10" s="1167">
        <f>S9/69.03</f>
        <v>561.68332609010577</v>
      </c>
      <c r="T10" s="1168"/>
      <c r="U10" s="1168"/>
      <c r="V10" s="1167">
        <f>V9/69.03</f>
        <v>597.7256265391859</v>
      </c>
      <c r="W10" s="1168"/>
      <c r="X10" s="1169"/>
    </row>
    <row r="11" spans="1:24" s="98" customFormat="1" ht="10.5" customHeight="1">
      <c r="A11" s="341" t="s">
        <v>336</v>
      </c>
      <c r="B11" s="311">
        <v>628682</v>
      </c>
      <c r="C11" s="616">
        <v>677072</v>
      </c>
      <c r="D11" s="616">
        <v>5671</v>
      </c>
      <c r="E11" s="616">
        <v>682743</v>
      </c>
      <c r="F11" s="616">
        <v>508042</v>
      </c>
      <c r="G11" s="310">
        <f>(F11/B11)*100</f>
        <v>80.810648308683881</v>
      </c>
      <c r="H11" s="616">
        <v>120640</v>
      </c>
      <c r="I11" s="616">
        <v>174701</v>
      </c>
      <c r="J11" s="310">
        <f>(I11/B11)*100</f>
        <v>27.788452667644375</v>
      </c>
      <c r="K11" s="616">
        <v>164729</v>
      </c>
      <c r="L11" s="310">
        <f>(K11/B11)*100</f>
        <v>26.202277144884057</v>
      </c>
      <c r="M11" s="615" t="s">
        <v>1197</v>
      </c>
      <c r="N11" s="615" t="s">
        <v>1202</v>
      </c>
      <c r="O11" s="615" t="s">
        <v>1206</v>
      </c>
      <c r="P11" s="615" t="s">
        <v>1101</v>
      </c>
      <c r="Q11" s="1164">
        <f>(B11/M11)*100</f>
        <v>114.84097713526853</v>
      </c>
      <c r="R11" s="615" t="s">
        <v>1215</v>
      </c>
      <c r="S11" s="616">
        <v>43719</v>
      </c>
      <c r="T11" s="615"/>
      <c r="U11" s="615" t="s">
        <v>1225</v>
      </c>
      <c r="V11" s="616">
        <v>47084</v>
      </c>
      <c r="W11" s="615" t="s">
        <v>1221</v>
      </c>
      <c r="X11" s="911"/>
    </row>
    <row r="12" spans="1:24" s="261" customFormat="1" ht="10.5" customHeight="1">
      <c r="A12" s="265"/>
      <c r="B12" s="1167">
        <f>(B11/68.6)*10</f>
        <v>91644.606413994174</v>
      </c>
      <c r="C12" s="1167">
        <f>(C11/68.6)*10</f>
        <v>98698.542274052481</v>
      </c>
      <c r="D12" s="1167">
        <f>(D11/68.6)*10</f>
        <v>826.67638483965015</v>
      </c>
      <c r="E12" s="1167">
        <f>(E11/68.6)*10</f>
        <v>99525.218658892132</v>
      </c>
      <c r="F12" s="1167">
        <f>(F11/68.6)*10</f>
        <v>74058.600583090389</v>
      </c>
      <c r="G12" s="1167"/>
      <c r="H12" s="1167">
        <f>(H11/68.6)*10</f>
        <v>17586.005830903792</v>
      </c>
      <c r="I12" s="1167">
        <f>(I11/68.6)*10</f>
        <v>25466.618075801751</v>
      </c>
      <c r="J12" s="1167"/>
      <c r="K12" s="1167">
        <f>(K11/68.6)*10</f>
        <v>24012.973760932946</v>
      </c>
      <c r="L12" s="1168"/>
      <c r="M12" s="1168"/>
      <c r="N12" s="1168"/>
      <c r="O12" s="1168"/>
      <c r="P12" s="1168"/>
      <c r="Q12" s="1168"/>
      <c r="R12" s="1168"/>
      <c r="S12" s="1167">
        <f>S11/68.6</f>
        <v>637.30320699708454</v>
      </c>
      <c r="T12" s="1168"/>
      <c r="U12" s="1168"/>
      <c r="V12" s="1167">
        <f>V11/68.6</f>
        <v>686.3556851311954</v>
      </c>
      <c r="W12" s="1168"/>
      <c r="X12" s="1169"/>
    </row>
    <row r="13" spans="1:24" s="98" customFormat="1" ht="10.5" customHeight="1">
      <c r="A13" s="341" t="s">
        <v>85</v>
      </c>
      <c r="B13" s="311">
        <v>705072</v>
      </c>
      <c r="C13" s="616">
        <v>760973</v>
      </c>
      <c r="D13" s="616">
        <v>2407</v>
      </c>
      <c r="E13" s="616">
        <v>763380</v>
      </c>
      <c r="F13" s="616">
        <v>561714</v>
      </c>
      <c r="G13" s="310">
        <f>(F13/B13)*100</f>
        <v>79.667608414459806</v>
      </c>
      <c r="H13" s="616">
        <v>143358</v>
      </c>
      <c r="I13" s="616">
        <v>201662</v>
      </c>
      <c r="J13" s="310">
        <f>(I13/B13)*100</f>
        <v>28.601617990786753</v>
      </c>
      <c r="K13" s="616">
        <v>184772</v>
      </c>
      <c r="L13" s="310">
        <f>(K13/B13)*100</f>
        <v>26.206117956747683</v>
      </c>
      <c r="M13" s="615" t="s">
        <v>1198</v>
      </c>
      <c r="N13" s="615" t="s">
        <v>1203</v>
      </c>
      <c r="O13" s="615" t="s">
        <v>1207</v>
      </c>
      <c r="P13" s="615" t="s">
        <v>1211</v>
      </c>
      <c r="Q13" s="1164">
        <f>(B13/M13)*100</f>
        <v>122.60927631395899</v>
      </c>
      <c r="R13" s="615" t="s">
        <v>1216</v>
      </c>
      <c r="S13" s="616">
        <v>48359</v>
      </c>
      <c r="T13" s="615"/>
      <c r="U13" s="615" t="s">
        <v>1226</v>
      </c>
      <c r="V13" s="616">
        <v>52193</v>
      </c>
      <c r="W13" s="615" t="s">
        <v>1222</v>
      </c>
      <c r="X13" s="911"/>
    </row>
    <row r="14" spans="1:24" s="261" customFormat="1" ht="10.5" customHeight="1">
      <c r="A14" s="265"/>
      <c r="B14" s="1167">
        <f>(B13/68.8)*10</f>
        <v>102481.39534883722</v>
      </c>
      <c r="C14" s="1167">
        <f>(C13/68.8)*10</f>
        <v>110606.54069767443</v>
      </c>
      <c r="D14" s="1167">
        <f>(D13/68.8)*10</f>
        <v>349.85465116279073</v>
      </c>
      <c r="E14" s="1167">
        <f>(E13/68.8)*10</f>
        <v>110956.39534883722</v>
      </c>
      <c r="F14" s="1167">
        <f>(F13/68.8)*10</f>
        <v>81644.476744186046</v>
      </c>
      <c r="G14" s="1167"/>
      <c r="H14" s="1167">
        <f>(H13/68.8)*10</f>
        <v>20836.918604651164</v>
      </c>
      <c r="I14" s="1167">
        <f>(I13/68.8)*10</f>
        <v>29311.337209302328</v>
      </c>
      <c r="J14" s="1167"/>
      <c r="K14" s="1167">
        <f>(K13/68.8)*10</f>
        <v>26856.39534883721</v>
      </c>
      <c r="L14" s="1168"/>
      <c r="M14" s="1168"/>
      <c r="N14" s="1168"/>
      <c r="O14" s="1168"/>
      <c r="P14" s="1168"/>
      <c r="Q14" s="1168"/>
      <c r="R14" s="1168"/>
      <c r="S14" s="1167">
        <f>S13/68.8</f>
        <v>702.89244186046517</v>
      </c>
      <c r="T14" s="1168"/>
      <c r="U14" s="1168"/>
      <c r="V14" s="1167">
        <f>V13/68.8</f>
        <v>758.61918604651169</v>
      </c>
      <c r="W14" s="1168"/>
      <c r="X14" s="1169"/>
    </row>
    <row r="15" spans="1:24" s="98" customFormat="1" ht="10.5" customHeight="1">
      <c r="A15" s="341" t="s">
        <v>81</v>
      </c>
      <c r="B15" s="311">
        <v>797539</v>
      </c>
      <c r="C15" s="616">
        <v>862142</v>
      </c>
      <c r="D15" s="616">
        <v>4248</v>
      </c>
      <c r="E15" s="616">
        <v>866390</v>
      </c>
      <c r="F15" s="616">
        <v>631571</v>
      </c>
      <c r="G15" s="310">
        <f>(F15/B15)*100</f>
        <v>79.189983185775233</v>
      </c>
      <c r="H15" s="616">
        <v>165968</v>
      </c>
      <c r="I15" s="616">
        <v>234819</v>
      </c>
      <c r="J15" s="310">
        <f>(I15/B15)*100</f>
        <v>29.442948871465845</v>
      </c>
      <c r="K15" s="616">
        <v>209327</v>
      </c>
      <c r="L15" s="310">
        <f>(K15/B15)*100</f>
        <v>26.246616152940483</v>
      </c>
      <c r="M15" s="615" t="s">
        <v>1199</v>
      </c>
      <c r="N15" s="615" t="s">
        <v>1204</v>
      </c>
      <c r="O15" s="615" t="s">
        <v>1208</v>
      </c>
      <c r="P15" s="615" t="s">
        <v>1212</v>
      </c>
      <c r="Q15" s="1164">
        <f>(B15/M15)*100</f>
        <v>131.3692869508497</v>
      </c>
      <c r="R15" s="615" t="s">
        <v>1217</v>
      </c>
      <c r="S15" s="616">
        <v>53961</v>
      </c>
      <c r="T15" s="615"/>
      <c r="U15" s="615" t="s">
        <v>1227</v>
      </c>
      <c r="V15" s="616">
        <v>58332</v>
      </c>
      <c r="W15" s="615" t="s">
        <v>1223</v>
      </c>
      <c r="X15" s="912"/>
    </row>
    <row r="16" spans="1:24" s="261" customFormat="1" ht="10.5" customHeight="1">
      <c r="A16" s="265"/>
      <c r="B16" s="1167">
        <f>(B15/69.18)*10</f>
        <v>115284.61983232148</v>
      </c>
      <c r="C16" s="1167">
        <f>(C15/69.18)*10</f>
        <v>124623.01243133852</v>
      </c>
      <c r="D16" s="1167">
        <f>(D15/69.18)*10</f>
        <v>614.0503035559409</v>
      </c>
      <c r="E16" s="1167">
        <f>(E15/69.18)*10</f>
        <v>125237.06273489445</v>
      </c>
      <c r="F16" s="1167">
        <f>(F15/69.18)*10</f>
        <v>91293.871061000274</v>
      </c>
      <c r="G16" s="1167"/>
      <c r="H16" s="1167">
        <f>(H15/69.18)*10</f>
        <v>23990.748771321189</v>
      </c>
      <c r="I16" s="1167">
        <f>(I15/69.18)*10</f>
        <v>33943.191673894187</v>
      </c>
      <c r="J16" s="1167"/>
      <c r="K16" s="1167">
        <f>(K15/69.18)*10</f>
        <v>30258.311650766114</v>
      </c>
      <c r="L16" s="1168"/>
      <c r="M16" s="1168"/>
      <c r="N16" s="1168"/>
      <c r="O16" s="1168"/>
      <c r="P16" s="1168"/>
      <c r="Q16" s="1168"/>
      <c r="R16" s="1168"/>
      <c r="S16" s="1167">
        <f>S15/69.18</f>
        <v>780.0086730268863</v>
      </c>
      <c r="T16" s="1168"/>
      <c r="U16" s="1168"/>
      <c r="V16" s="1167">
        <f>V15/69.18</f>
        <v>843.19167389418897</v>
      </c>
      <c r="W16" s="1168"/>
      <c r="X16" s="1170"/>
    </row>
    <row r="17" spans="1:24" s="98" customFormat="1" ht="10.5" customHeight="1">
      <c r="A17" s="341" t="s">
        <v>192</v>
      </c>
      <c r="B17" s="616">
        <v>915829</v>
      </c>
      <c r="C17" s="616">
        <v>988342</v>
      </c>
      <c r="D17" s="616">
        <v>3102</v>
      </c>
      <c r="E17" s="616">
        <v>991444</v>
      </c>
      <c r="F17" s="616">
        <v>726966</v>
      </c>
      <c r="G17" s="310">
        <f>(F17/B17)*100</f>
        <v>79.377918803619451</v>
      </c>
      <c r="H17" s="616">
        <v>188863</v>
      </c>
      <c r="I17" s="616">
        <v>264478</v>
      </c>
      <c r="J17" s="310">
        <f>(I17/B17)*100</f>
        <v>28.878535185061839</v>
      </c>
      <c r="K17" s="616">
        <v>251129</v>
      </c>
      <c r="L17" s="310">
        <f>(K17/B17)*100</f>
        <v>27.420948670548761</v>
      </c>
      <c r="M17" s="615" t="s">
        <v>1094</v>
      </c>
      <c r="N17" s="615" t="s">
        <v>1117</v>
      </c>
      <c r="O17" s="615" t="s">
        <v>1095</v>
      </c>
      <c r="P17" s="615" t="s">
        <v>1096</v>
      </c>
      <c r="Q17" s="1164">
        <f>(B17/M17)*100</f>
        <v>141.694180480303</v>
      </c>
      <c r="R17" s="615" t="s">
        <v>861</v>
      </c>
      <c r="S17" s="616">
        <v>61198</v>
      </c>
      <c r="T17" s="615"/>
      <c r="U17" s="1164">
        <v>43190</v>
      </c>
      <c r="V17" s="616">
        <v>66044</v>
      </c>
      <c r="W17" s="615" t="s">
        <v>1120</v>
      </c>
      <c r="X17" s="912"/>
    </row>
    <row r="18" spans="1:24" s="265" customFormat="1" ht="10.5" customHeight="1">
      <c r="B18" s="1167">
        <f>(B17/71.17)*10</f>
        <v>128681.88843613882</v>
      </c>
      <c r="C18" s="1167">
        <f>(C17/71.17)*10</f>
        <v>138870.59154137981</v>
      </c>
      <c r="D18" s="1167">
        <f>(D17/71.17)*10</f>
        <v>435.85780525502315</v>
      </c>
      <c r="E18" s="1167">
        <f>(E17/71.17)*10</f>
        <v>139306.44934663482</v>
      </c>
      <c r="F18" s="1167">
        <f>(F17/71.17)*10</f>
        <v>102145.00491780243</v>
      </c>
      <c r="G18" s="1167"/>
      <c r="H18" s="1167">
        <f>(H17/71.17)*10</f>
        <v>26536.883518336377</v>
      </c>
      <c r="I18" s="1167">
        <f>(I17/71.17)*10</f>
        <v>37161.444428832372</v>
      </c>
      <c r="J18" s="1167"/>
      <c r="K18" s="1167">
        <f>(K17/71.17)*10</f>
        <v>35285.794576366447</v>
      </c>
      <c r="L18" s="1168"/>
      <c r="M18" s="1168"/>
      <c r="N18" s="1168"/>
      <c r="O18" s="1168"/>
      <c r="P18" s="1168"/>
      <c r="Q18" s="1168"/>
      <c r="R18" s="1168"/>
      <c r="S18" s="1167">
        <f>S17/71.17</f>
        <v>859.88478291414924</v>
      </c>
      <c r="T18" s="1168"/>
      <c r="U18" s="1168"/>
      <c r="V18" s="1167">
        <f>V17/71.17</f>
        <v>927.97527047913445</v>
      </c>
      <c r="W18" s="1168"/>
      <c r="X18" s="915"/>
    </row>
    <row r="19" spans="1:24" s="98" customFormat="1" ht="10.5" customHeight="1">
      <c r="A19" s="341" t="s">
        <v>757</v>
      </c>
      <c r="B19" s="616">
        <v>1055204</v>
      </c>
      <c r="C19" s="616">
        <v>1144506</v>
      </c>
      <c r="D19" s="616">
        <v>1791</v>
      </c>
      <c r="E19" s="616">
        <v>1146297</v>
      </c>
      <c r="F19" s="616">
        <v>831250</v>
      </c>
      <c r="G19" s="310">
        <f>(F19/B19)*100</f>
        <v>78.776236632916479</v>
      </c>
      <c r="H19" s="616">
        <v>223954</v>
      </c>
      <c r="I19" s="616">
        <v>315047</v>
      </c>
      <c r="J19" s="310">
        <f>(I19/B19)*100</f>
        <v>29.856501681191506</v>
      </c>
      <c r="K19" s="616">
        <v>298225</v>
      </c>
      <c r="L19" s="310">
        <f>(K19/B19)*100</f>
        <v>28.262307572753702</v>
      </c>
      <c r="M19" s="615" t="s">
        <v>1097</v>
      </c>
      <c r="N19" s="615" t="s">
        <v>1116</v>
      </c>
      <c r="O19" s="615" t="s">
        <v>1098</v>
      </c>
      <c r="P19" s="615" t="s">
        <v>1099</v>
      </c>
      <c r="Q19" s="1164">
        <f>(B19/M19)*100</f>
        <v>153.26285089318264</v>
      </c>
      <c r="R19" s="615" t="s">
        <v>862</v>
      </c>
      <c r="S19" s="616">
        <v>69614</v>
      </c>
      <c r="T19" s="615"/>
      <c r="U19" s="1164">
        <v>45421</v>
      </c>
      <c r="V19" s="616">
        <v>75505</v>
      </c>
      <c r="W19" s="615" t="s">
        <v>1119</v>
      </c>
      <c r="X19" s="911"/>
    </row>
    <row r="20" spans="1:24" s="261" customFormat="1" ht="10.5" customHeight="1">
      <c r="A20" s="265"/>
      <c r="B20" s="1167">
        <f>(B19/79.1)*10</f>
        <v>133401.26422250317</v>
      </c>
      <c r="C20" s="1167">
        <f>(C19/79.1)*10</f>
        <v>144691.02402022757</v>
      </c>
      <c r="D20" s="1167">
        <f>(D19/79.1)*10</f>
        <v>226.42225031605562</v>
      </c>
      <c r="E20" s="1167">
        <f>(E19/79.1)*10</f>
        <v>144917.44627054362</v>
      </c>
      <c r="F20" s="1167">
        <f>(F19/79.1)*10</f>
        <v>105088.49557522124</v>
      </c>
      <c r="G20" s="1167"/>
      <c r="H20" s="1167">
        <f>(H19/79.1)*10</f>
        <v>28312.768647281922</v>
      </c>
      <c r="I20" s="1167">
        <f>(I19/79.1)*10</f>
        <v>39828.950695322375</v>
      </c>
      <c r="J20" s="1167"/>
      <c r="K20" s="1167">
        <f>(K19/79.1)*10</f>
        <v>37702.275600505687</v>
      </c>
      <c r="L20" s="1168"/>
      <c r="M20" s="1168"/>
      <c r="N20" s="1168"/>
      <c r="O20" s="1168"/>
      <c r="P20" s="1168"/>
      <c r="Q20" s="1168"/>
      <c r="R20" s="1168"/>
      <c r="S20" s="1167">
        <f>S19/79.1</f>
        <v>880.07585335018973</v>
      </c>
      <c r="T20" s="1168"/>
      <c r="U20" s="1168"/>
      <c r="V20" s="1167">
        <f>V19/79.1</f>
        <v>954.55120101137811</v>
      </c>
      <c r="W20" s="1168"/>
      <c r="X20" s="1169"/>
    </row>
    <row r="21" spans="1:24" s="98" customFormat="1" ht="10.5" customHeight="1">
      <c r="A21" s="341" t="s">
        <v>866</v>
      </c>
      <c r="B21" s="311">
        <v>1198923</v>
      </c>
      <c r="C21" s="616">
        <v>1295352</v>
      </c>
      <c r="D21" s="616">
        <v>5375</v>
      </c>
      <c r="E21" s="616">
        <v>1300727</v>
      </c>
      <c r="F21" s="616">
        <v>934727</v>
      </c>
      <c r="G21" s="310">
        <f>(F21/B21)*100</f>
        <v>77.963889257275071</v>
      </c>
      <c r="H21" s="616">
        <v>264196</v>
      </c>
      <c r="I21" s="616">
        <v>365999.9</v>
      </c>
      <c r="J21" s="310">
        <f>(I21/B21)*100</f>
        <v>30.527389999190941</v>
      </c>
      <c r="K21" s="616">
        <v>340370</v>
      </c>
      <c r="L21" s="310">
        <f>(K21/B21)*100</f>
        <v>28.38964637428759</v>
      </c>
      <c r="M21" s="615" t="s">
        <v>1100</v>
      </c>
      <c r="N21" s="615" t="s">
        <v>1115</v>
      </c>
      <c r="O21" s="615" t="s">
        <v>1102</v>
      </c>
      <c r="P21" s="615" t="s">
        <v>1101</v>
      </c>
      <c r="Q21" s="1164">
        <f>(B21/M21)*100</f>
        <v>164.25920369586393</v>
      </c>
      <c r="R21" s="615" t="s">
        <v>1103</v>
      </c>
      <c r="S21" s="616">
        <v>78009</v>
      </c>
      <c r="T21" s="615"/>
      <c r="U21" s="1164">
        <v>47491</v>
      </c>
      <c r="V21" s="616">
        <v>84283</v>
      </c>
      <c r="W21" s="615" t="s">
        <v>1118</v>
      </c>
      <c r="X21" s="911"/>
    </row>
    <row r="22" spans="1:24" s="265" customFormat="1" ht="10.5" customHeight="1">
      <c r="B22" s="1167">
        <f>(B21/79.93)*10</f>
        <v>149996.62204428873</v>
      </c>
      <c r="C22" s="1167">
        <f>(C21/79.93)*10</f>
        <v>162060.80320280243</v>
      </c>
      <c r="D22" s="1167">
        <f>(D21/79.93)*10</f>
        <v>672.46340547979469</v>
      </c>
      <c r="E22" s="1167">
        <f>(E21/79.93)*10</f>
        <v>162733.26660828223</v>
      </c>
      <c r="F22" s="1167">
        <f>(F21/79.93)*10</f>
        <v>116943.20030026272</v>
      </c>
      <c r="G22" s="1167"/>
      <c r="H22" s="1167">
        <f>(H21/79.93)*10</f>
        <v>33053.421744026018</v>
      </c>
      <c r="I22" s="1167">
        <f>(I21/79.93)*10</f>
        <v>45790.05379707244</v>
      </c>
      <c r="J22" s="1167"/>
      <c r="K22" s="1167">
        <f>(K21/79.93)*10</f>
        <v>42583.510571750274</v>
      </c>
      <c r="L22" s="1168"/>
      <c r="M22" s="1168"/>
      <c r="N22" s="1168"/>
      <c r="O22" s="1168"/>
      <c r="P22" s="1168"/>
      <c r="Q22" s="1168"/>
      <c r="R22" s="1168"/>
      <c r="S22" s="1167">
        <f>S21/79.93</f>
        <v>975.96647066182902</v>
      </c>
      <c r="T22" s="1168"/>
      <c r="U22" s="1168"/>
      <c r="V22" s="1167">
        <f>V21/79.93</f>
        <v>1054.4601526335543</v>
      </c>
      <c r="W22" s="1168"/>
      <c r="X22" s="915"/>
    </row>
    <row r="23" spans="1:24" s="368" customFormat="1" ht="10.5" customHeight="1">
      <c r="A23" s="341" t="s">
        <v>1051</v>
      </c>
      <c r="B23" s="311">
        <v>1343674</v>
      </c>
      <c r="C23" s="616">
        <v>1433224</v>
      </c>
      <c r="D23" s="616">
        <v>6334</v>
      </c>
      <c r="E23" s="616">
        <v>1439558</v>
      </c>
      <c r="F23" s="616">
        <v>1046856</v>
      </c>
      <c r="G23" s="310">
        <f>(F23/B23)*100</f>
        <v>77.909969233608749</v>
      </c>
      <c r="H23" s="616">
        <v>296817</v>
      </c>
      <c r="I23" s="616">
        <v>392701</v>
      </c>
      <c r="J23" s="310">
        <f>(I23/B23)*100</f>
        <v>29.225913428405999</v>
      </c>
      <c r="K23" s="616">
        <v>383994</v>
      </c>
      <c r="L23" s="310">
        <f>(K23/B23)*100</f>
        <v>28.577913988065557</v>
      </c>
      <c r="M23" s="615" t="s">
        <v>1191</v>
      </c>
      <c r="N23" s="615">
        <v>825728</v>
      </c>
      <c r="O23" s="615" t="s">
        <v>1192</v>
      </c>
      <c r="P23" s="615" t="s">
        <v>1193</v>
      </c>
      <c r="Q23" s="1164">
        <f>(B23/M23)*100</f>
        <v>173.57079376233634</v>
      </c>
      <c r="R23" s="615" t="s">
        <v>1104</v>
      </c>
      <c r="S23" s="616">
        <v>86266</v>
      </c>
      <c r="T23" s="615"/>
      <c r="U23" s="1164">
        <v>49701</v>
      </c>
      <c r="V23" s="616">
        <v>92015</v>
      </c>
      <c r="W23" s="615" t="s">
        <v>1255</v>
      </c>
      <c r="X23" s="914"/>
    </row>
    <row r="24" spans="1:24" s="265" customFormat="1" ht="10.5" customHeight="1">
      <c r="B24" s="1167">
        <f>(B23/77.72)*10</f>
        <v>172886.51569737517</v>
      </c>
      <c r="C24" s="1167">
        <f>(C23/77.72)*10</f>
        <v>184408.64642305713</v>
      </c>
      <c r="D24" s="1167">
        <f>(D23/77.72)*10</f>
        <v>814.97683993823989</v>
      </c>
      <c r="E24" s="1167">
        <f>(E23/77.72)*10</f>
        <v>185223.62326299539</v>
      </c>
      <c r="F24" s="1167">
        <f>(F23/77.72)*10</f>
        <v>134695.83118888317</v>
      </c>
      <c r="G24" s="1167"/>
      <c r="H24" s="1167">
        <f>(H23/77.72)*10</f>
        <v>38190.555841482244</v>
      </c>
      <c r="I24" s="1167">
        <f>(I23/77.72)*10</f>
        <v>50527.663407102416</v>
      </c>
      <c r="J24" s="1167"/>
      <c r="K24" s="1167">
        <f>(K23/77.72)*10</f>
        <v>49407.359752959346</v>
      </c>
      <c r="L24" s="1168"/>
      <c r="M24" s="1168"/>
      <c r="N24" s="1168"/>
      <c r="O24" s="1168"/>
      <c r="P24" s="1168"/>
      <c r="Q24" s="1168"/>
      <c r="R24" s="1168"/>
      <c r="S24" s="1167">
        <f>S23/77.72</f>
        <v>1109.9588265568709</v>
      </c>
      <c r="T24" s="1168"/>
      <c r="U24" s="1168"/>
      <c r="V24" s="1167">
        <f>V23/77.72</f>
        <v>1183.9294904786414</v>
      </c>
      <c r="W24" s="1168"/>
      <c r="X24" s="915"/>
    </row>
    <row r="25" spans="1:24" s="368" customFormat="1" ht="10.5" customHeight="1">
      <c r="A25" s="341" t="s">
        <v>1105</v>
      </c>
      <c r="B25" s="311">
        <v>1515802</v>
      </c>
      <c r="C25" s="616">
        <v>1614204</v>
      </c>
      <c r="D25" s="616">
        <v>5600</v>
      </c>
      <c r="E25" s="616">
        <v>1619804</v>
      </c>
      <c r="F25" s="616">
        <v>1179924</v>
      </c>
      <c r="G25" s="310">
        <f>(F25/B25)*100</f>
        <v>77.84156505928874</v>
      </c>
      <c r="H25" s="616">
        <v>335879</v>
      </c>
      <c r="I25" s="616">
        <v>439881</v>
      </c>
      <c r="J25" s="310">
        <f>(I25/B25)*100</f>
        <v>29.01968726786216</v>
      </c>
      <c r="K25" s="616">
        <v>437865</v>
      </c>
      <c r="L25" s="310">
        <f>(K25/B25)*100</f>
        <v>28.886688366950303</v>
      </c>
      <c r="M25" s="615" t="s">
        <v>1251</v>
      </c>
      <c r="N25" s="615" t="s">
        <v>1252</v>
      </c>
      <c r="O25" s="615" t="s">
        <v>1253</v>
      </c>
      <c r="P25" s="615" t="s">
        <v>1254</v>
      </c>
      <c r="Q25" s="1164">
        <f>(B25/M25)*100</f>
        <v>183.76431451564019</v>
      </c>
      <c r="R25" s="615" t="s">
        <v>1194</v>
      </c>
      <c r="S25" s="616">
        <v>96004</v>
      </c>
      <c r="T25" s="615"/>
      <c r="U25" s="616">
        <v>52240</v>
      </c>
      <c r="V25" s="616">
        <v>102236</v>
      </c>
      <c r="W25" s="615" t="s">
        <v>1284</v>
      </c>
      <c r="X25" s="913"/>
    </row>
    <row r="26" spans="1:24" s="265" customFormat="1" ht="10.5" customHeight="1">
      <c r="B26" s="1167">
        <f>(B25/77.67)*10</f>
        <v>195159.26355092056</v>
      </c>
      <c r="C26" s="1167">
        <f>(C25/77.67)*10</f>
        <v>207828.50521436849</v>
      </c>
      <c r="D26" s="1167">
        <f>(D25/77.67)*10</f>
        <v>720.99909875112655</v>
      </c>
      <c r="E26" s="1167">
        <f>(E25/77.67)*10</f>
        <v>208549.50431311963</v>
      </c>
      <c r="F26" s="1167">
        <f>(F25/77.67)*10</f>
        <v>151915.02510621861</v>
      </c>
      <c r="G26" s="1167"/>
      <c r="H26" s="1167">
        <f>(H25/77.67)*10</f>
        <v>43244.36719454101</v>
      </c>
      <c r="I26" s="1167">
        <f>(I25/77.67)*10</f>
        <v>56634.607956740059</v>
      </c>
      <c r="J26" s="1167"/>
      <c r="K26" s="1167">
        <f>(K25/77.67)*10</f>
        <v>56375.048281189651</v>
      </c>
      <c r="L26" s="1168"/>
      <c r="M26" s="1168"/>
      <c r="N26" s="1168"/>
      <c r="O26" s="1168"/>
      <c r="P26" s="1168"/>
      <c r="Q26" s="1168"/>
      <c r="R26" s="1168"/>
      <c r="S26" s="1167">
        <f>S25/77.67</f>
        <v>1236.0499549375563</v>
      </c>
      <c r="T26" s="1168"/>
      <c r="U26" s="1168"/>
      <c r="V26" s="1167">
        <f>V25/77.67</f>
        <v>1316.2868546414318</v>
      </c>
      <c r="W26" s="1168"/>
      <c r="X26" s="915"/>
    </row>
    <row r="27" spans="1:24" s="368" customFormat="1" ht="10.5" customHeight="1">
      <c r="A27" s="1171" t="s">
        <v>1231</v>
      </c>
      <c r="B27" s="616">
        <v>1732864</v>
      </c>
      <c r="C27" s="616">
        <v>1832675</v>
      </c>
      <c r="D27" s="616">
        <v>583</v>
      </c>
      <c r="E27" s="616">
        <v>1833258</v>
      </c>
      <c r="F27" s="616">
        <v>1300034</v>
      </c>
      <c r="G27" s="310">
        <f>(F27/B27)*100</f>
        <v>75.022275262224852</v>
      </c>
      <c r="H27" s="616">
        <v>432830</v>
      </c>
      <c r="I27" s="616">
        <v>533224</v>
      </c>
      <c r="J27" s="310">
        <f>(I27/B27)*100</f>
        <v>30.771254985965431</v>
      </c>
      <c r="K27" s="616">
        <v>513839</v>
      </c>
      <c r="L27" s="310">
        <f>(K27/B27)*100</f>
        <v>29.652586700398874</v>
      </c>
      <c r="M27" s="616">
        <v>883539</v>
      </c>
      <c r="N27" s="616">
        <v>934430</v>
      </c>
      <c r="O27" s="310">
        <v>14.32</v>
      </c>
      <c r="P27" s="616">
        <v>7.11</v>
      </c>
      <c r="Q27" s="1164">
        <f>(B27/M27)*100</f>
        <v>196.12761858842677</v>
      </c>
      <c r="R27" s="616">
        <v>15.99</v>
      </c>
      <c r="S27" s="616">
        <v>108378</v>
      </c>
      <c r="T27" s="616"/>
      <c r="U27" s="616">
        <v>55259</v>
      </c>
      <c r="V27" s="616">
        <v>114621</v>
      </c>
      <c r="W27" s="616">
        <v>58442</v>
      </c>
      <c r="X27" s="913"/>
    </row>
    <row r="28" spans="1:24" s="265" customFormat="1" ht="10.5" customHeight="1">
      <c r="B28" s="1167">
        <f>(B27/78.2658)*10</f>
        <v>221407.56243467773</v>
      </c>
      <c r="C28" s="1167">
        <f>(C27/78.2658)*10</f>
        <v>234160.38678452146</v>
      </c>
      <c r="D28" s="1167">
        <f>(D27/78.2658)*10</f>
        <v>74.489751590094272</v>
      </c>
      <c r="E28" s="1167">
        <f>(E27/78.2658)*10</f>
        <v>234234.87653611155</v>
      </c>
      <c r="F28" s="1167">
        <f>(F27/78.2658)*10</f>
        <v>166104.99094112628</v>
      </c>
      <c r="G28" s="1167"/>
      <c r="H28" s="1167">
        <f>(H27/78.2658)*10</f>
        <v>55302.571493551455</v>
      </c>
      <c r="I28" s="1167">
        <f>(I27/78.2658)*10</f>
        <v>68129.885594985302</v>
      </c>
      <c r="J28" s="1167"/>
      <c r="K28" s="1167">
        <f>(K27/78.2658)*10</f>
        <v>65653.06941218258</v>
      </c>
      <c r="L28" s="1168"/>
      <c r="M28" s="1168"/>
      <c r="N28" s="1168"/>
      <c r="O28" s="1168"/>
      <c r="P28" s="1168"/>
      <c r="Q28" s="1168"/>
      <c r="R28" s="1168"/>
      <c r="S28" s="1167">
        <f>(S27/78.2658)</f>
        <v>1384.742761206044</v>
      </c>
      <c r="T28" s="1168"/>
      <c r="U28" s="1168"/>
      <c r="V28" s="1167">
        <f>(V27/78.2658)</f>
        <v>1464.5094025743044</v>
      </c>
      <c r="W28" s="1168"/>
      <c r="X28" s="915"/>
    </row>
    <row r="29" spans="1:24" s="368" customFormat="1" ht="10.5" customHeight="1">
      <c r="A29" s="341" t="s">
        <v>1263</v>
      </c>
      <c r="B29" s="616">
        <v>1975817</v>
      </c>
      <c r="C29" s="616">
        <v>2060718</v>
      </c>
      <c r="D29" s="616">
        <v>353</v>
      </c>
      <c r="E29" s="616">
        <v>2061069</v>
      </c>
      <c r="F29" s="616">
        <v>1475356</v>
      </c>
      <c r="G29" s="310">
        <f>(F29/B29)*100</f>
        <v>74.670680533672908</v>
      </c>
      <c r="H29" s="616">
        <v>500460</v>
      </c>
      <c r="I29" s="616">
        <v>585714</v>
      </c>
      <c r="J29" s="310">
        <f>(I29/B29)*100</f>
        <v>29.644142144743164</v>
      </c>
      <c r="K29" s="616">
        <v>602830</v>
      </c>
      <c r="L29" s="310">
        <f>(K29/B29)*100</f>
        <v>30.510416703571231</v>
      </c>
      <c r="M29" s="616">
        <v>947899</v>
      </c>
      <c r="N29" s="616">
        <v>988630</v>
      </c>
      <c r="O29" s="616">
        <v>14.02</v>
      </c>
      <c r="P29" s="616">
        <v>7.28</v>
      </c>
      <c r="Q29" s="1164">
        <f>(B29/M29)*100</f>
        <v>208.44172216660212</v>
      </c>
      <c r="R29" s="310">
        <v>16.175000000000001</v>
      </c>
      <c r="S29" s="616">
        <v>122152</v>
      </c>
      <c r="T29" s="616"/>
      <c r="U29" s="311">
        <f>M29/R29</f>
        <v>58602.720247295205</v>
      </c>
      <c r="V29" s="311">
        <f>C29/R29</f>
        <v>127401.42194744977</v>
      </c>
      <c r="W29" s="311">
        <f>N29/R29</f>
        <v>61120.865533230288</v>
      </c>
      <c r="X29" s="913"/>
    </row>
    <row r="30" spans="1:24" s="265" customFormat="1" ht="10.5" customHeight="1">
      <c r="B30" s="1167">
        <f>(B29/79.119175)*10</f>
        <v>249726.69393986985</v>
      </c>
      <c r="C30" s="1167">
        <f>(C29/79.119175)*10</f>
        <v>260457.46811692615</v>
      </c>
      <c r="D30" s="1167">
        <f>(D29/79.119175)*10</f>
        <v>44.616238731002944</v>
      </c>
      <c r="E30" s="1167">
        <f>(E29/79.119175)*10</f>
        <v>260501.83157243489</v>
      </c>
      <c r="F30" s="1167">
        <f>(F29/79.119175)*10</f>
        <v>186472.62183914328</v>
      </c>
      <c r="G30" s="1167"/>
      <c r="H30" s="1167">
        <f>(H29/79.119175)*10</f>
        <v>63253.945709115396</v>
      </c>
      <c r="I30" s="1167">
        <f>(I29/79.119175)*10</f>
        <v>74029.336124902722</v>
      </c>
      <c r="J30" s="1167"/>
      <c r="K30" s="1167">
        <f>(K29/79.119175)*10</f>
        <v>76192.654941106244</v>
      </c>
      <c r="L30" s="1168"/>
      <c r="M30" s="1168"/>
      <c r="N30" s="1168"/>
      <c r="O30" s="1168"/>
      <c r="P30" s="1168"/>
      <c r="Q30" s="1168"/>
      <c r="R30" s="1168"/>
      <c r="S30" s="1167">
        <f>(S29/79.119175)</f>
        <v>1543.8988083482923</v>
      </c>
      <c r="T30" s="1168"/>
      <c r="U30" s="1168"/>
      <c r="V30" s="1167">
        <f>(V29/79.119175)</f>
        <v>1610.2470980953703</v>
      </c>
      <c r="W30" s="1168"/>
      <c r="X30" s="915"/>
    </row>
    <row r="31" spans="1:24" s="368" customFormat="1" ht="10.5" customHeight="1">
      <c r="A31" s="341" t="s">
        <v>1392</v>
      </c>
      <c r="B31" s="616">
        <v>2250481</v>
      </c>
      <c r="C31" s="616">
        <v>2353109</v>
      </c>
      <c r="D31" s="616">
        <v>495</v>
      </c>
      <c r="E31" s="616">
        <v>2353603</v>
      </c>
      <c r="F31" s="616">
        <v>1736587</v>
      </c>
      <c r="G31" s="310">
        <f>(F31/B31)*100</f>
        <v>77.165148250529555</v>
      </c>
      <c r="H31" s="616">
        <v>513892</v>
      </c>
      <c r="I31" s="616">
        <v>617016</v>
      </c>
      <c r="J31" s="310">
        <f>(I31/B31)*100</f>
        <v>27.41707217257111</v>
      </c>
      <c r="K31" s="616">
        <v>702936</v>
      </c>
      <c r="L31" s="310">
        <f>(K31/B31)*100</f>
        <v>31.234922667643051</v>
      </c>
      <c r="M31" s="616">
        <v>1022438</v>
      </c>
      <c r="N31" s="616">
        <v>1069064</v>
      </c>
      <c r="O31" s="310">
        <v>13.9</v>
      </c>
      <c r="P31" s="616">
        <v>7.86</v>
      </c>
      <c r="Q31" s="1164">
        <f>(B31/M31)*100</f>
        <v>220.10928780033606</v>
      </c>
      <c r="R31" s="310">
        <v>16.364999999999998</v>
      </c>
      <c r="S31" s="311">
        <f>B31/R31</f>
        <v>137517.93461655974</v>
      </c>
      <c r="T31" s="616"/>
      <c r="U31" s="311">
        <f>M31/R31</f>
        <v>62477.115795905906</v>
      </c>
      <c r="V31" s="616">
        <f>ROUND((C31/R31),0)</f>
        <v>143789</v>
      </c>
      <c r="W31" s="311">
        <f>N31/R31</f>
        <v>65326.245035135966</v>
      </c>
      <c r="X31" s="913"/>
    </row>
    <row r="32" spans="1:24" s="265" customFormat="1" ht="10.5" customHeight="1">
      <c r="B32" s="1167">
        <f>(B31/82.100874)*10</f>
        <v>274111.69825061789</v>
      </c>
      <c r="C32" s="1167">
        <f>(C31/82.100874)*10</f>
        <v>286611.93058675597</v>
      </c>
      <c r="D32" s="1167">
        <f>(D31/82.100874)*10</f>
        <v>60.291684592785217</v>
      </c>
      <c r="E32" s="1167">
        <f>(E31/82.100874)*10</f>
        <v>286672.10046996572</v>
      </c>
      <c r="F32" s="1167">
        <f>(F31/82.100874)*10</f>
        <v>211518.69832713349</v>
      </c>
      <c r="G32" s="1167"/>
      <c r="H32" s="1167">
        <f>(H31/82.100874)*10</f>
        <v>62592.756320718334</v>
      </c>
      <c r="I32" s="1167">
        <f>(I31/82.100874)*10</f>
        <v>75153.40214283223</v>
      </c>
      <c r="J32" s="1167"/>
      <c r="K32" s="1167">
        <f>(K31/82.100874)*10</f>
        <v>85618.576971543574</v>
      </c>
      <c r="L32" s="1168"/>
      <c r="M32" s="1168"/>
      <c r="N32" s="1168"/>
      <c r="O32" s="1168"/>
      <c r="P32" s="1168"/>
      <c r="Q32" s="1168"/>
      <c r="R32" s="1168"/>
      <c r="S32" s="1167">
        <f>(S31/82.100874)</f>
        <v>1674.9874625763391</v>
      </c>
      <c r="T32" s="1168"/>
      <c r="U32" s="1168"/>
      <c r="V32" s="1167">
        <f>(V31/82.100874)</f>
        <v>1751.369906244847</v>
      </c>
      <c r="W32" s="1168"/>
      <c r="X32" s="915"/>
    </row>
    <row r="33" spans="1:24" s="368" customFormat="1" ht="10.5" customHeight="1">
      <c r="A33" s="413" t="s">
        <v>1511</v>
      </c>
      <c r="B33" s="616">
        <v>2542484</v>
      </c>
      <c r="C33" s="616">
        <v>2656094</v>
      </c>
      <c r="D33" s="616">
        <v>215</v>
      </c>
      <c r="E33" s="616">
        <v>2656307</v>
      </c>
      <c r="F33" s="616">
        <v>1906266</v>
      </c>
      <c r="G33" s="310">
        <f>(F33/B33)*100</f>
        <v>74.976519026275085</v>
      </c>
      <c r="H33" s="616">
        <v>636217</v>
      </c>
      <c r="I33" s="616">
        <v>750041</v>
      </c>
      <c r="J33" s="310">
        <f>(I33/B33)*100</f>
        <v>29.500323305869379</v>
      </c>
      <c r="K33" s="616">
        <v>802670</v>
      </c>
      <c r="L33" s="310">
        <f>(K33/B33)*100</f>
        <v>31.570306833789317</v>
      </c>
      <c r="M33" s="616">
        <v>1105794</v>
      </c>
      <c r="N33" s="616">
        <v>1155206</v>
      </c>
      <c r="O33" s="616">
        <v>12.98</v>
      </c>
      <c r="P33" s="616">
        <v>8.15</v>
      </c>
      <c r="Q33" s="1164">
        <f>(B33/M33)*100</f>
        <v>229.92383753212624</v>
      </c>
      <c r="R33" s="310">
        <v>16.555</v>
      </c>
      <c r="S33" s="311">
        <f>B33/R33</f>
        <v>153578.01268498943</v>
      </c>
      <c r="T33" s="616"/>
      <c r="U33" s="311">
        <f>M33/R33</f>
        <v>66795.167623074594</v>
      </c>
      <c r="V33" s="616">
        <f>ROUND((C33/R33),0)</f>
        <v>160441</v>
      </c>
      <c r="W33" s="311">
        <f>N33/R33</f>
        <v>69779.885231048029</v>
      </c>
      <c r="X33" s="913"/>
    </row>
    <row r="34" spans="1:24" s="265" customFormat="1" ht="10.5" customHeight="1">
      <c r="B34" s="1167">
        <f>(B33/84.03)*10</f>
        <v>302568.60645007738</v>
      </c>
      <c r="C34" s="1167">
        <f>(C33/84.03)*10</f>
        <v>316088.77781744616</v>
      </c>
      <c r="D34" s="1167">
        <f>(D33/84.03)*10</f>
        <v>25.586100202308696</v>
      </c>
      <c r="E34" s="1167">
        <f>(E33/84.03)*10</f>
        <v>316114.12590741401</v>
      </c>
      <c r="F34" s="1167">
        <f>(F33/84.03)*10</f>
        <v>226855.40878257767</v>
      </c>
      <c r="G34" s="1167"/>
      <c r="H34" s="1167">
        <f>(H33/84.03)*10</f>
        <v>75713.078662382482</v>
      </c>
      <c r="I34" s="1167">
        <f>(I33/84.03)*10</f>
        <v>89258.717124836374</v>
      </c>
      <c r="J34" s="1167"/>
      <c r="K34" s="1167">
        <f>(K33/84.03)*10</f>
        <v>95521.837439009862</v>
      </c>
      <c r="L34" s="1168"/>
      <c r="M34" s="1168"/>
      <c r="N34" s="1168"/>
      <c r="O34" s="1168"/>
      <c r="P34" s="1168"/>
      <c r="Q34" s="1168"/>
      <c r="R34" s="1168"/>
      <c r="S34" s="1167">
        <f>(S33/84.03)</f>
        <v>1827.6569401998029</v>
      </c>
      <c r="T34" s="1168"/>
      <c r="U34" s="1168"/>
      <c r="V34" s="1167">
        <f>(V33/84.03)</f>
        <v>1909.3300011900512</v>
      </c>
      <c r="W34" s="1168"/>
      <c r="X34" s="915"/>
    </row>
    <row r="35" spans="1:24" s="368" customFormat="1" ht="10.5" customHeight="1">
      <c r="A35" s="341" t="s">
        <v>1602</v>
      </c>
      <c r="B35" s="616">
        <v>2739332</v>
      </c>
      <c r="C35" s="616">
        <v>2873230</v>
      </c>
      <c r="D35" s="616">
        <v>205</v>
      </c>
      <c r="E35" s="616">
        <v>2873435</v>
      </c>
      <c r="F35" s="616">
        <v>2088081</v>
      </c>
      <c r="G35" s="310">
        <f>(F35/B35)*100</f>
        <v>76.225919311715401</v>
      </c>
      <c r="H35" s="616">
        <v>651252</v>
      </c>
      <c r="I35" s="616">
        <v>785354</v>
      </c>
      <c r="J35" s="310">
        <f>(I35/B35)*100</f>
        <v>28.669544253854589</v>
      </c>
      <c r="K35" s="616">
        <v>834631</v>
      </c>
      <c r="L35" s="310">
        <f>(K35/B35)*100</f>
        <v>30.46841346722486</v>
      </c>
      <c r="M35" s="616">
        <v>1144597</v>
      </c>
      <c r="N35" s="616">
        <v>1200545</v>
      </c>
      <c r="O35" s="616">
        <v>7.74</v>
      </c>
      <c r="P35" s="616">
        <v>3.51</v>
      </c>
      <c r="Q35" s="1164">
        <f>(B35/M35)*100</f>
        <v>239.32720424743383</v>
      </c>
      <c r="R35" s="310">
        <v>16.742999999999999</v>
      </c>
      <c r="S35" s="311">
        <f>B35/R35</f>
        <v>163610.58352744431</v>
      </c>
      <c r="T35" s="616"/>
      <c r="U35" s="311">
        <f>M35/R35</f>
        <v>68362.718748133557</v>
      </c>
      <c r="V35" s="616">
        <f>ROUND((C35/R35),0)</f>
        <v>171608</v>
      </c>
      <c r="W35" s="311">
        <f>N35/R35</f>
        <v>71704.294331959638</v>
      </c>
      <c r="X35" s="913"/>
    </row>
    <row r="36" spans="1:24" s="265" customFormat="1" ht="10.5" customHeight="1">
      <c r="B36" s="1167">
        <f>(B35/84.78)*10</f>
        <v>323110.63930172211</v>
      </c>
      <c r="C36" s="1167">
        <f>(C35/84.78)*10</f>
        <v>338904.22269403166</v>
      </c>
      <c r="D36" s="1167">
        <f>(D35/84.78)*10</f>
        <v>24.180231186600611</v>
      </c>
      <c r="E36" s="1167">
        <f>(E35/84.78)*10</f>
        <v>338928.40292521816</v>
      </c>
      <c r="F36" s="1167">
        <f>(F35/84.78)*10</f>
        <v>246294.0552016985</v>
      </c>
      <c r="G36" s="1167"/>
      <c r="H36" s="1167">
        <f>(H35/84.78)*10</f>
        <v>76816.702052370834</v>
      </c>
      <c r="I36" s="1167">
        <f>(I35/84.78)*10</f>
        <v>92634.347723519691</v>
      </c>
      <c r="J36" s="1167"/>
      <c r="K36" s="1167">
        <f>(K35/84.78)*10</f>
        <v>98446.685539042228</v>
      </c>
      <c r="L36" s="1168"/>
      <c r="M36" s="1168"/>
      <c r="N36" s="1168"/>
      <c r="O36" s="1168"/>
      <c r="P36" s="1168"/>
      <c r="Q36" s="1168"/>
      <c r="R36" s="1168"/>
      <c r="S36" s="1167">
        <f>(S35/84.78)</f>
        <v>1929.8252362284065</v>
      </c>
      <c r="T36" s="1168"/>
      <c r="U36" s="1168"/>
      <c r="V36" s="1167">
        <f>(V35/84.78)</f>
        <v>2024.1566407171501</v>
      </c>
      <c r="W36" s="1168"/>
      <c r="X36" s="915"/>
    </row>
    <row r="37" spans="1:24" s="368" customFormat="1" ht="10.5" customHeight="1">
      <c r="A37" s="341" t="s">
        <v>2024</v>
      </c>
      <c r="B37" s="616">
        <v>3011065</v>
      </c>
      <c r="C37" s="616">
        <v>3197811</v>
      </c>
      <c r="D37" s="616">
        <v>411</v>
      </c>
      <c r="E37" s="616">
        <v>3198222</v>
      </c>
      <c r="F37" s="616">
        <v>2283288</v>
      </c>
      <c r="G37" s="310">
        <f>(F37/B37)*100</f>
        <v>75.829914000528049</v>
      </c>
      <c r="H37" s="616">
        <v>727777</v>
      </c>
      <c r="I37" s="616">
        <v>914934</v>
      </c>
      <c r="J37" s="310">
        <f>(I37/B37)*100</f>
        <v>30.38572730910824</v>
      </c>
      <c r="K37" s="616">
        <v>901003</v>
      </c>
      <c r="L37" s="310">
        <f>(K37/B37)*100</f>
        <v>29.923067087558721</v>
      </c>
      <c r="M37" s="616">
        <v>1207246</v>
      </c>
      <c r="N37" s="616">
        <v>1282119</v>
      </c>
      <c r="O37" s="616">
        <v>9.92</v>
      </c>
      <c r="P37" s="616">
        <v>5.47</v>
      </c>
      <c r="Q37" s="1164">
        <f>(B37/M37)*100</f>
        <v>249.41602622829149</v>
      </c>
      <c r="R37" s="310">
        <v>16.931000000000001</v>
      </c>
      <c r="S37" s="311">
        <f>B37/R37</f>
        <v>177843.30517984761</v>
      </c>
      <c r="T37" s="616"/>
      <c r="U37" s="311">
        <f>M37/R37</f>
        <v>71303.880455968334</v>
      </c>
      <c r="V37" s="616">
        <f>ROUND((C37/R37),0)</f>
        <v>188873</v>
      </c>
      <c r="W37" s="311">
        <f>N37/R37</f>
        <v>75726.123678459626</v>
      </c>
      <c r="X37" s="913"/>
    </row>
    <row r="38" spans="1:24" s="265" customFormat="1" ht="10.5" customHeight="1">
      <c r="B38" s="1167">
        <f>(B37/84.81)*10</f>
        <v>355036.55229336163</v>
      </c>
      <c r="C38" s="1167">
        <f>(C37/84.81)*10</f>
        <v>377055.88963565615</v>
      </c>
      <c r="D38" s="1167">
        <f>(D37/84.81)*10</f>
        <v>48.461266360099046</v>
      </c>
      <c r="E38" s="1167">
        <f>(E37/84.81)*10</f>
        <v>377104.35090201622</v>
      </c>
      <c r="F38" s="1167">
        <f>(F37/84.81)*10</f>
        <v>269223.91227449593</v>
      </c>
      <c r="G38" s="1167"/>
      <c r="H38" s="1167">
        <f>(H37/84.81)*10</f>
        <v>85812.640018865699</v>
      </c>
      <c r="I38" s="1167">
        <f>(I37/84.81)*10</f>
        <v>107880.43862752034</v>
      </c>
      <c r="J38" s="1167"/>
      <c r="K38" s="1167">
        <f>(K37/84.81)*10</f>
        <v>106237.82572809811</v>
      </c>
      <c r="L38" s="1168"/>
      <c r="M38" s="1168"/>
      <c r="N38" s="1168"/>
      <c r="O38" s="1168"/>
      <c r="P38" s="1168"/>
      <c r="Q38" s="1168"/>
      <c r="R38" s="1168"/>
      <c r="S38" s="1167">
        <f>(S37/84.81)</f>
        <v>2096.9615043019407</v>
      </c>
      <c r="T38" s="1168"/>
      <c r="U38" s="1168"/>
      <c r="V38" s="1167">
        <f>(V37/84.81)</f>
        <v>2227.0133239004836</v>
      </c>
      <c r="W38" s="1168"/>
      <c r="X38" s="915"/>
    </row>
    <row r="39" spans="1:24" s="368" customFormat="1" ht="10.5" customHeight="1">
      <c r="A39" s="1172" t="s">
        <v>2141</v>
      </c>
      <c r="B39" s="617"/>
      <c r="C39" s="617"/>
      <c r="D39" s="617"/>
      <c r="E39" s="617"/>
      <c r="F39" s="617"/>
      <c r="G39" s="617"/>
      <c r="H39" s="617"/>
      <c r="I39" s="617"/>
      <c r="J39" s="617"/>
      <c r="K39" s="617"/>
      <c r="L39" s="615"/>
      <c r="M39" s="615"/>
      <c r="N39" s="615"/>
      <c r="O39" s="615"/>
      <c r="P39" s="615"/>
      <c r="Q39" s="615"/>
      <c r="R39" s="615"/>
      <c r="S39" s="617"/>
      <c r="T39" s="615"/>
      <c r="U39" s="615"/>
      <c r="V39" s="617"/>
      <c r="W39" s="615"/>
      <c r="X39" s="913"/>
    </row>
    <row r="40" spans="1:24" s="425" customFormat="1" ht="10.5" customHeight="1">
      <c r="A40" s="563" t="s">
        <v>1231</v>
      </c>
      <c r="B40" s="613">
        <v>2075821</v>
      </c>
      <c r="C40" s="613">
        <v>2173075</v>
      </c>
      <c r="D40" s="613">
        <v>3249</v>
      </c>
      <c r="E40" s="613">
        <v>2176324</v>
      </c>
      <c r="F40" s="613">
        <v>1509739</v>
      </c>
      <c r="G40" s="268">
        <f>(F40/B40)*100</f>
        <v>72.729729586510601</v>
      </c>
      <c r="H40" s="613">
        <v>566082</v>
      </c>
      <c r="I40" s="613">
        <v>666585</v>
      </c>
      <c r="J40" s="268">
        <f>(I40/B40)*100</f>
        <v>32.111872844527539</v>
      </c>
      <c r="K40" s="613">
        <v>627723</v>
      </c>
      <c r="L40" s="268">
        <f>(K40/B40)*100</f>
        <v>30.239746105275938</v>
      </c>
      <c r="M40" s="1168" t="s">
        <v>2142</v>
      </c>
      <c r="N40" s="1168" t="s">
        <v>2143</v>
      </c>
      <c r="O40" s="1168" t="s">
        <v>298</v>
      </c>
      <c r="P40" s="1168" t="s">
        <v>298</v>
      </c>
      <c r="Q40" s="397">
        <f>(B40/M40)*100</f>
        <v>100</v>
      </c>
      <c r="R40" s="1168" t="s">
        <v>2144</v>
      </c>
      <c r="S40" s="613">
        <v>129828</v>
      </c>
      <c r="T40" s="1168"/>
      <c r="U40" s="397">
        <f>M40/R40</f>
        <v>129819.94996873045</v>
      </c>
      <c r="V40" s="613">
        <v>135911</v>
      </c>
      <c r="W40" s="397">
        <f>N40/R40</f>
        <v>135902.12632895561</v>
      </c>
      <c r="X40" s="1173"/>
    </row>
    <row r="41" spans="1:24" s="1175" customFormat="1" ht="10.5" customHeight="1">
      <c r="A41" s="341"/>
      <c r="B41" s="617">
        <f>(B40/78.27)*10</f>
        <v>265212.85294493422</v>
      </c>
      <c r="C41" s="617">
        <f>(C40/78.27)*10</f>
        <v>277638.30330905842</v>
      </c>
      <c r="D41" s="617">
        <f>(D40/78.27)*10</f>
        <v>415.10157148332695</v>
      </c>
      <c r="E41" s="617">
        <f>(E40/78.27)*10</f>
        <v>278053.40488054173</v>
      </c>
      <c r="F41" s="617">
        <f>(F40/78.27)*10</f>
        <v>192888.59077552066</v>
      </c>
      <c r="G41" s="617"/>
      <c r="H41" s="617">
        <f>(H40/78.27)*10</f>
        <v>72324.262169413574</v>
      </c>
      <c r="I41" s="617">
        <f>(I40/78.27)*10</f>
        <v>85164.814105021083</v>
      </c>
      <c r="J41" s="617"/>
      <c r="K41" s="617">
        <f>(K40/79.1)*10</f>
        <v>79358.154235145397</v>
      </c>
      <c r="L41" s="615"/>
      <c r="M41" s="615"/>
      <c r="N41" s="615"/>
      <c r="O41" s="615"/>
      <c r="P41" s="615"/>
      <c r="Q41" s="615"/>
      <c r="R41" s="615"/>
      <c r="S41" s="617">
        <f>S40/78.27</f>
        <v>1658.7198160214643</v>
      </c>
      <c r="T41" s="615"/>
      <c r="U41" s="615"/>
      <c r="V41" s="617">
        <f>V40/78.27</f>
        <v>1736.437971125591</v>
      </c>
      <c r="W41" s="615"/>
      <c r="X41" s="1174"/>
    </row>
    <row r="42" spans="1:24" s="425" customFormat="1" ht="10.5" customHeight="1">
      <c r="A42" s="265" t="s">
        <v>1263</v>
      </c>
      <c r="B42" s="613">
        <v>2324307</v>
      </c>
      <c r="C42" s="613">
        <v>2404557</v>
      </c>
      <c r="D42" s="613">
        <v>4416</v>
      </c>
      <c r="E42" s="613">
        <v>2408974</v>
      </c>
      <c r="F42" s="613">
        <v>1695216</v>
      </c>
      <c r="G42" s="268">
        <f>(F42/B42)*100</f>
        <v>72.934255242530355</v>
      </c>
      <c r="H42" s="613">
        <v>629091</v>
      </c>
      <c r="I42" s="613">
        <v>713758</v>
      </c>
      <c r="J42" s="268">
        <f>(I42/B42)*100</f>
        <v>30.70842190812143</v>
      </c>
      <c r="K42" s="613">
        <v>719300</v>
      </c>
      <c r="L42" s="268">
        <f>(K42/B42)*100</f>
        <v>30.946858569027242</v>
      </c>
      <c r="M42" s="1168" t="s">
        <v>2145</v>
      </c>
      <c r="N42" s="1168" t="s">
        <v>2146</v>
      </c>
      <c r="O42" s="1168" t="s">
        <v>2147</v>
      </c>
      <c r="P42" s="1168" t="s">
        <v>2148</v>
      </c>
      <c r="Q42" s="397">
        <f>(B42/M42)*100</f>
        <v>105.04758379534154</v>
      </c>
      <c r="R42" s="1168" t="s">
        <v>2149</v>
      </c>
      <c r="S42" s="613">
        <v>143698</v>
      </c>
      <c r="T42" s="1168"/>
      <c r="U42" s="397">
        <f>M42/R42</f>
        <v>136750.49443757726</v>
      </c>
      <c r="V42" s="613">
        <v>148659</v>
      </c>
      <c r="W42" s="397">
        <f>N42/R42</f>
        <v>141472.00247218789</v>
      </c>
      <c r="X42" s="1173"/>
    </row>
    <row r="43" spans="1:24" s="1175" customFormat="1" ht="10.5" customHeight="1">
      <c r="A43" s="341"/>
      <c r="B43" s="617">
        <f>(B42/79.12)*10</f>
        <v>293769.84327603638</v>
      </c>
      <c r="C43" s="617">
        <f>(C42/79.12)*10</f>
        <v>303912.66430738114</v>
      </c>
      <c r="D43" s="617">
        <f>(D42/79.12)*10</f>
        <v>558.1395348837209</v>
      </c>
      <c r="E43" s="617">
        <f>(E42/79.12)*10</f>
        <v>304470.93023255811</v>
      </c>
      <c r="F43" s="617">
        <f>(F42/79.12)*10</f>
        <v>214258.84732052579</v>
      </c>
      <c r="G43" s="617"/>
      <c r="H43" s="617">
        <f>(H42/79.12)*10</f>
        <v>79510.995955510618</v>
      </c>
      <c r="I43" s="617">
        <f>(I42/79.12)*10</f>
        <v>90212.082912032347</v>
      </c>
      <c r="J43" s="617"/>
      <c r="K43" s="617">
        <f>(K42/79.12)*10</f>
        <v>90912.537917087961</v>
      </c>
      <c r="L43" s="615"/>
      <c r="M43" s="615"/>
      <c r="N43" s="615"/>
      <c r="O43" s="615"/>
      <c r="P43" s="615"/>
      <c r="Q43" s="615"/>
      <c r="R43" s="615"/>
      <c r="S43" s="617">
        <f>S42/79.12</f>
        <v>1816.2032355915064</v>
      </c>
      <c r="T43" s="615"/>
      <c r="U43" s="615"/>
      <c r="V43" s="617">
        <f>V42/79.12</f>
        <v>1878.9054600606673</v>
      </c>
      <c r="W43" s="615"/>
      <c r="X43" s="1174"/>
    </row>
    <row r="44" spans="1:24" s="425" customFormat="1" ht="10.5" customHeight="1">
      <c r="A44" s="265" t="s">
        <v>1392</v>
      </c>
      <c r="B44" s="613">
        <v>2639248</v>
      </c>
      <c r="C44" s="613">
        <v>2744791</v>
      </c>
      <c r="D44" s="613">
        <v>4213</v>
      </c>
      <c r="E44" s="613">
        <v>2749004</v>
      </c>
      <c r="F44" s="613">
        <v>1941136</v>
      </c>
      <c r="G44" s="268">
        <f>(F44/B44)*100</f>
        <v>73.548829060399029</v>
      </c>
      <c r="H44" s="613">
        <v>698112</v>
      </c>
      <c r="I44" s="613">
        <v>807868</v>
      </c>
      <c r="J44" s="268">
        <f>(I44/B44)*100</f>
        <v>30.609779755445494</v>
      </c>
      <c r="K44" s="613">
        <v>839877</v>
      </c>
      <c r="L44" s="268">
        <f>(K44/B44)*100</f>
        <v>31.822587343061358</v>
      </c>
      <c r="M44" s="1168" t="s">
        <v>2150</v>
      </c>
      <c r="N44" s="1168" t="s">
        <v>2151</v>
      </c>
      <c r="O44" s="1168" t="s">
        <v>2152</v>
      </c>
      <c r="P44" s="1168" t="s">
        <v>2153</v>
      </c>
      <c r="Q44" s="397">
        <f>(B44/M44)*100</f>
        <v>111.14616769155225</v>
      </c>
      <c r="R44" s="1168" t="s">
        <v>2154</v>
      </c>
      <c r="S44" s="613">
        <v>161274</v>
      </c>
      <c r="T44" s="1168"/>
      <c r="U44" s="397">
        <f>M44/R44</f>
        <v>145056.4447159438</v>
      </c>
      <c r="V44" s="613">
        <v>167723</v>
      </c>
      <c r="W44" s="397">
        <f>N44/R44</f>
        <v>150857.23885155772</v>
      </c>
      <c r="X44" s="1173"/>
    </row>
    <row r="45" spans="1:24" s="1175" customFormat="1" ht="10.5" customHeight="1">
      <c r="A45" s="341"/>
      <c r="B45" s="617">
        <f>(B44/82.1)*10</f>
        <v>321467.47868453106</v>
      </c>
      <c r="C45" s="617">
        <f>(C44/82.1)*10</f>
        <v>334322.89890377596</v>
      </c>
      <c r="D45" s="617">
        <f>(D44/82.1)*10</f>
        <v>513.15468940316691</v>
      </c>
      <c r="E45" s="617">
        <f>(E44/82.1)*10</f>
        <v>334836.05359317909</v>
      </c>
      <c r="F45" s="617">
        <f>(F44/82.1)*10</f>
        <v>236435.56638246041</v>
      </c>
      <c r="G45" s="617"/>
      <c r="H45" s="617">
        <f>(H44/82.1)*10</f>
        <v>85031.912302070647</v>
      </c>
      <c r="I45" s="617">
        <f>(I44/82.1)*10</f>
        <v>98400.487210718638</v>
      </c>
      <c r="J45" s="617"/>
      <c r="K45" s="617">
        <f>(K44/82.1)*10</f>
        <v>102299.26918392206</v>
      </c>
      <c r="L45" s="615"/>
      <c r="M45" s="615"/>
      <c r="N45" s="615"/>
      <c r="O45" s="615"/>
      <c r="P45" s="615"/>
      <c r="Q45" s="615"/>
      <c r="R45" s="615"/>
      <c r="S45" s="617">
        <f>S44/82.1</f>
        <v>1964.3605359317905</v>
      </c>
      <c r="T45" s="615"/>
      <c r="U45" s="615"/>
      <c r="V45" s="617">
        <f>V44/82.1</f>
        <v>2042.9110840438491</v>
      </c>
      <c r="W45" s="615"/>
      <c r="X45" s="1174"/>
    </row>
    <row r="46" spans="1:24" s="425" customFormat="1" ht="10.5" customHeight="1">
      <c r="A46" s="399" t="s">
        <v>1511</v>
      </c>
      <c r="B46" s="613">
        <v>2951429</v>
      </c>
      <c r="C46" s="613">
        <v>3072324</v>
      </c>
      <c r="D46" s="613">
        <v>4655</v>
      </c>
      <c r="E46" s="613">
        <v>3076979</v>
      </c>
      <c r="F46" s="613">
        <v>2157955</v>
      </c>
      <c r="G46" s="268">
        <f>(F46/B46)*100</f>
        <v>73.115599257173386</v>
      </c>
      <c r="H46" s="613">
        <v>793474</v>
      </c>
      <c r="I46" s="613">
        <v>919023</v>
      </c>
      <c r="J46" s="268">
        <f>(I46/B46)*100</f>
        <v>31.138238460081542</v>
      </c>
      <c r="K46" s="613">
        <v>950765</v>
      </c>
      <c r="L46" s="268">
        <f>(K46/B46)*100</f>
        <v>32.213717490747698</v>
      </c>
      <c r="M46" s="1168" t="s">
        <v>2155</v>
      </c>
      <c r="N46" s="1168" t="s">
        <v>2156</v>
      </c>
      <c r="O46" s="1168" t="s">
        <v>2157</v>
      </c>
      <c r="P46" s="1168" t="s">
        <v>2158</v>
      </c>
      <c r="Q46" s="397">
        <f>(B46/M46)*100</f>
        <v>115.21206712947783</v>
      </c>
      <c r="R46" s="1168" t="s">
        <v>2159</v>
      </c>
      <c r="S46" s="613">
        <v>178280</v>
      </c>
      <c r="T46" s="1168"/>
      <c r="U46" s="397">
        <f>M46/R46</f>
        <v>154694.20289855075</v>
      </c>
      <c r="V46" s="613">
        <v>185583</v>
      </c>
      <c r="W46" s="397">
        <f>N46/R46</f>
        <v>161030.67632850242</v>
      </c>
      <c r="X46" s="1173"/>
    </row>
    <row r="47" spans="1:24" s="1175" customFormat="1" ht="10.5" customHeight="1">
      <c r="A47" s="341"/>
      <c r="B47" s="617">
        <f>(B46/84.03)*10</f>
        <v>351235.15411162679</v>
      </c>
      <c r="C47" s="617">
        <f>(C46/84.03)*10</f>
        <v>365622.27775794361</v>
      </c>
      <c r="D47" s="617">
        <f>(D46/84.03)*10</f>
        <v>553.96882065928833</v>
      </c>
      <c r="E47" s="617">
        <f>(E46/84.03)*10</f>
        <v>366176.24657860288</v>
      </c>
      <c r="F47" s="617">
        <f>(F46/84.03)*10</f>
        <v>256807.68773057239</v>
      </c>
      <c r="G47" s="617"/>
      <c r="H47" s="617">
        <f>(H46/84.03)*10</f>
        <v>94427.466381054386</v>
      </c>
      <c r="I47" s="617">
        <f>(I46/84.03)*10</f>
        <v>109368.43984291324</v>
      </c>
      <c r="J47" s="617"/>
      <c r="K47" s="617">
        <f>(K46/84.03)*10</f>
        <v>113145.90027371177</v>
      </c>
      <c r="L47" s="615"/>
      <c r="M47" s="615"/>
      <c r="N47" s="615"/>
      <c r="O47" s="615"/>
      <c r="P47" s="615"/>
      <c r="Q47" s="615"/>
      <c r="R47" s="615"/>
      <c r="S47" s="617">
        <f>S46/84.03</f>
        <v>2121.6232297988813</v>
      </c>
      <c r="T47" s="615"/>
      <c r="U47" s="615"/>
      <c r="V47" s="617">
        <f>V46/84.03</f>
        <v>2208.5326669046767</v>
      </c>
      <c r="W47" s="615"/>
      <c r="X47" s="1174"/>
    </row>
    <row r="48" spans="1:24" s="425" customFormat="1" ht="10.5" customHeight="1">
      <c r="A48" s="265" t="s">
        <v>1602</v>
      </c>
      <c r="B48" s="613">
        <v>3170469</v>
      </c>
      <c r="C48" s="613">
        <v>3301701</v>
      </c>
      <c r="D48" s="613">
        <v>6369</v>
      </c>
      <c r="E48" s="613">
        <v>3308071</v>
      </c>
      <c r="F48" s="613">
        <v>2311982</v>
      </c>
      <c r="G48" s="268">
        <f>(F48/B48)*100</f>
        <v>72.922397285701265</v>
      </c>
      <c r="H48" s="613">
        <v>858487</v>
      </c>
      <c r="I48" s="613">
        <v>996088</v>
      </c>
      <c r="J48" s="268">
        <f>(I48/B48)*100</f>
        <v>31.41768615305811</v>
      </c>
      <c r="K48" s="613">
        <v>992609</v>
      </c>
      <c r="L48" s="268">
        <f>(K48/B48)*100</f>
        <v>31.307954753697327</v>
      </c>
      <c r="M48" s="613">
        <v>2650065</v>
      </c>
      <c r="N48" s="613">
        <v>2759756</v>
      </c>
      <c r="O48" s="268">
        <v>7.42</v>
      </c>
      <c r="P48" s="613">
        <v>3.45</v>
      </c>
      <c r="Q48" s="397">
        <f>(B48/M48)*100</f>
        <v>119.63740512025176</v>
      </c>
      <c r="R48" s="613">
        <v>16.739999999999998</v>
      </c>
      <c r="S48" s="613">
        <v>189361</v>
      </c>
      <c r="T48" s="613"/>
      <c r="U48" s="397">
        <f>M48/R48</f>
        <v>158307.34767025092</v>
      </c>
      <c r="V48" s="613">
        <v>197199</v>
      </c>
      <c r="W48" s="397">
        <f>N48/R48</f>
        <v>164859.97610513741</v>
      </c>
      <c r="X48" s="1173"/>
    </row>
    <row r="49" spans="1:24" s="1175" customFormat="1" ht="10.5" customHeight="1">
      <c r="A49" s="341"/>
      <c r="B49" s="617">
        <f>(B48/84.78)*10</f>
        <v>373964.26043878275</v>
      </c>
      <c r="C49" s="617">
        <f>(C48/84.78)*10</f>
        <v>389443.38287331921</v>
      </c>
      <c r="D49" s="617">
        <f>(D48/84.78)*10</f>
        <v>751.23849964614294</v>
      </c>
      <c r="E49" s="617">
        <f>(E48/84.78)*10</f>
        <v>390194.73932531255</v>
      </c>
      <c r="F49" s="617">
        <f>(F48/84.78)*10</f>
        <v>272703.70370370371</v>
      </c>
      <c r="G49" s="617"/>
      <c r="H49" s="617">
        <f>(H48/84.78)*10</f>
        <v>101260.55673507902</v>
      </c>
      <c r="I49" s="617">
        <f>(I48/84.78)*10</f>
        <v>117490.91766926162</v>
      </c>
      <c r="J49" s="617"/>
      <c r="K49" s="617">
        <f>(K48/84.78)*10</f>
        <v>117080.56145317292</v>
      </c>
      <c r="L49" s="615"/>
      <c r="M49" s="615"/>
      <c r="N49" s="615"/>
      <c r="O49" s="615"/>
      <c r="P49" s="615"/>
      <c r="Q49" s="615"/>
      <c r="R49" s="615"/>
      <c r="S49" s="617">
        <f>(S48/84.78)</f>
        <v>2233.5574427931115</v>
      </c>
      <c r="T49" s="615"/>
      <c r="U49" s="615"/>
      <c r="V49" s="617">
        <f>(V48/84.78)</f>
        <v>2326.0084925690021</v>
      </c>
      <c r="W49" s="615"/>
      <c r="X49" s="1174"/>
    </row>
    <row r="50" spans="1:24" s="425" customFormat="1" ht="10.5" customHeight="1">
      <c r="A50" s="265" t="s">
        <v>1668</v>
      </c>
      <c r="B50" s="613">
        <v>3530185</v>
      </c>
      <c r="C50" s="613">
        <v>3715997</v>
      </c>
      <c r="D50" s="613">
        <v>6654</v>
      </c>
      <c r="E50" s="613">
        <v>3722650</v>
      </c>
      <c r="F50" s="613">
        <v>2635572</v>
      </c>
      <c r="G50" s="268">
        <f>(F50/B50)*100</f>
        <v>74.658183636268348</v>
      </c>
      <c r="H50" s="613">
        <v>894613</v>
      </c>
      <c r="I50" s="613">
        <v>1087078</v>
      </c>
      <c r="J50" s="268">
        <f>(I50/B50)*100</f>
        <v>30.793796925656871</v>
      </c>
      <c r="K50" s="613">
        <v>1095019</v>
      </c>
      <c r="L50" s="268">
        <f>(K50/B50)*100</f>
        <v>31.018742643799118</v>
      </c>
      <c r="M50" s="613">
        <v>2833944</v>
      </c>
      <c r="N50" s="613">
        <v>2983109</v>
      </c>
      <c r="O50" s="613">
        <v>11.35</v>
      </c>
      <c r="P50" s="613">
        <v>6.94</v>
      </c>
      <c r="Q50" s="397">
        <f>(B50/M50)*100</f>
        <v>124.56791665608071</v>
      </c>
      <c r="R50" s="268">
        <v>16.911000000000001</v>
      </c>
      <c r="S50" s="613">
        <v>208751</v>
      </c>
      <c r="T50" s="613"/>
      <c r="U50" s="397">
        <f>M50/R50</f>
        <v>167579.91839631009</v>
      </c>
      <c r="V50" s="397">
        <v>219738</v>
      </c>
      <c r="W50" s="397">
        <f>N50/R50</f>
        <v>176400.50854473418</v>
      </c>
      <c r="X50" s="1173"/>
    </row>
    <row r="51" spans="1:24" s="1175" customFormat="1" ht="10.5" customHeight="1">
      <c r="A51" s="341"/>
      <c r="B51" s="617">
        <f>(B50/84.81)*10</f>
        <v>416246.31529300788</v>
      </c>
      <c r="C51" s="617">
        <f>(C50/84.81)*10</f>
        <v>438155.52411272255</v>
      </c>
      <c r="D51" s="617">
        <f>(D50/84.81)*10</f>
        <v>784.57729041386631</v>
      </c>
      <c r="E51" s="617">
        <f>(E50/84.81)*10</f>
        <v>438939.98349251272</v>
      </c>
      <c r="F51" s="617">
        <f>(F50/84.81)*10</f>
        <v>310761.93845065439</v>
      </c>
      <c r="G51" s="617"/>
      <c r="H51" s="617">
        <f>(H50/84.81)*10</f>
        <v>105484.37684235349</v>
      </c>
      <c r="I51" s="617">
        <f>(I50/84.81)*10</f>
        <v>128178.04504185828</v>
      </c>
      <c r="J51" s="617"/>
      <c r="K51" s="617">
        <f>(K50/84.81)*10</f>
        <v>129114.37330503479</v>
      </c>
      <c r="L51" s="615"/>
      <c r="M51" s="615"/>
      <c r="N51" s="615"/>
      <c r="O51" s="615"/>
      <c r="P51" s="615"/>
      <c r="Q51" s="615"/>
      <c r="R51" s="615"/>
      <c r="S51" s="617">
        <v>2462</v>
      </c>
      <c r="T51" s="615"/>
      <c r="U51" s="615"/>
      <c r="V51" s="617">
        <f>(V50/84.81)</f>
        <v>2590.9444640962151</v>
      </c>
      <c r="W51" s="615"/>
      <c r="X51" s="1174"/>
    </row>
    <row r="52" spans="1:24" s="1175" customFormat="1" ht="10.5" customHeight="1">
      <c r="A52" s="265" t="s">
        <v>2018</v>
      </c>
      <c r="B52" s="613">
        <v>3971716</v>
      </c>
      <c r="C52" s="613">
        <v>4129062</v>
      </c>
      <c r="D52" s="613">
        <v>6505</v>
      </c>
      <c r="E52" s="613">
        <v>4135567</v>
      </c>
      <c r="F52" s="613">
        <v>2969875</v>
      </c>
      <c r="G52" s="268">
        <f>(F52/B52)*100</f>
        <v>74.775613362083291</v>
      </c>
      <c r="H52" s="613">
        <v>1001841</v>
      </c>
      <c r="I52" s="613">
        <v>1165692</v>
      </c>
      <c r="J52" s="268">
        <f>(I52/B52)*100</f>
        <v>29.349832666786853</v>
      </c>
      <c r="K52" s="613">
        <v>1272827</v>
      </c>
      <c r="L52" s="268">
        <f>(K52/B52)*100</f>
        <v>32.047281326257973</v>
      </c>
      <c r="M52" s="613">
        <v>3035150</v>
      </c>
      <c r="N52" s="613">
        <v>3155392</v>
      </c>
      <c r="O52" s="613">
        <v>12.51</v>
      </c>
      <c r="P52" s="268">
        <v>7.1</v>
      </c>
      <c r="Q52" s="397">
        <f>(B52/M52)*100</f>
        <v>130.85732171391859</v>
      </c>
      <c r="R52" s="268">
        <v>17.13</v>
      </c>
      <c r="S52" s="613">
        <v>231861</v>
      </c>
      <c r="T52" s="613"/>
      <c r="U52" s="397">
        <f>M52/R52</f>
        <v>177183.30414477526</v>
      </c>
      <c r="V52" s="613">
        <v>241047</v>
      </c>
      <c r="W52" s="397">
        <f>N52/R52</f>
        <v>184202.68534734385</v>
      </c>
      <c r="X52" s="1174"/>
    </row>
    <row r="53" spans="1:24" s="1175" customFormat="1" ht="10.5" customHeight="1">
      <c r="A53" s="341"/>
      <c r="B53" s="617">
        <f>(B52/86.3)*10</f>
        <v>460222.01622247975</v>
      </c>
      <c r="C53" s="617">
        <f>(C52/86.3)*10</f>
        <v>478454.46118192351</v>
      </c>
      <c r="D53" s="617">
        <f>(D52/86.3)*10</f>
        <v>753.76593279258395</v>
      </c>
      <c r="E53" s="617">
        <f>(E52/86.3)*10</f>
        <v>479208.22711471614</v>
      </c>
      <c r="F53" s="617">
        <f>(F52/86.3)*10</f>
        <v>344133.83545770572</v>
      </c>
      <c r="G53" s="617"/>
      <c r="H53" s="617">
        <f>(H52/86.3)*10</f>
        <v>116088.18076477404</v>
      </c>
      <c r="I53" s="617">
        <f>(I52/86.3)*10</f>
        <v>135074.39165701045</v>
      </c>
      <c r="J53" s="617"/>
      <c r="K53" s="617">
        <f>(K52/86.3)*10</f>
        <v>147488.64426419468</v>
      </c>
      <c r="L53" s="615"/>
      <c r="M53" s="615"/>
      <c r="N53" s="615"/>
      <c r="O53" s="615"/>
      <c r="P53" s="615"/>
      <c r="Q53" s="615"/>
      <c r="R53" s="615"/>
      <c r="S53" s="617">
        <v>2687</v>
      </c>
      <c r="T53" s="615"/>
      <c r="U53" s="615"/>
      <c r="V53" s="617">
        <f>(V52/86.3)</f>
        <v>2793.1286210892235</v>
      </c>
      <c r="W53" s="615"/>
      <c r="X53" s="1174"/>
    </row>
    <row r="54" spans="1:24" s="1175" customFormat="1" ht="10.5" customHeight="1">
      <c r="A54" s="265" t="s">
        <v>2299</v>
      </c>
      <c r="B54" s="613">
        <v>4490842</v>
      </c>
      <c r="C54" s="613">
        <v>4670080</v>
      </c>
      <c r="D54" s="613">
        <v>8743</v>
      </c>
      <c r="E54" s="613">
        <v>4678823</v>
      </c>
      <c r="F54" s="613">
        <v>3334023</v>
      </c>
      <c r="G54" s="268">
        <v>74.239999999999995</v>
      </c>
      <c r="H54" s="613">
        <v>1156819</v>
      </c>
      <c r="I54" s="613">
        <v>1344801</v>
      </c>
      <c r="J54" s="268">
        <v>29.95</v>
      </c>
      <c r="K54" s="613">
        <v>1389969</v>
      </c>
      <c r="L54" s="268">
        <v>30.95</v>
      </c>
      <c r="M54" s="613">
        <v>3210433</v>
      </c>
      <c r="N54" s="613">
        <v>3338568</v>
      </c>
      <c r="O54" s="613">
        <v>13.07</v>
      </c>
      <c r="P54" s="268">
        <v>5.78</v>
      </c>
      <c r="Q54" s="397">
        <f>(B54/M54)*100</f>
        <v>139.88275101832056</v>
      </c>
      <c r="R54" s="268">
        <v>17.079999999999998</v>
      </c>
      <c r="S54" s="613">
        <v>262868</v>
      </c>
      <c r="T54" s="613"/>
      <c r="U54" s="397">
        <f>M54/R54</f>
        <v>187964.46135831383</v>
      </c>
      <c r="V54" s="613">
        <v>273360</v>
      </c>
      <c r="W54" s="397">
        <f>N54/R54</f>
        <v>195466.51053864171</v>
      </c>
      <c r="X54" s="1174"/>
    </row>
    <row r="55" spans="1:24" s="1175" customFormat="1" ht="10.5" customHeight="1" thickBot="1">
      <c r="A55" s="916"/>
      <c r="B55" s="618">
        <f>(B54/99.46)*10</f>
        <v>451522.42107379856</v>
      </c>
      <c r="C55" s="618">
        <f>(C54/99.46)*10</f>
        <v>469543.53508948325</v>
      </c>
      <c r="D55" s="618">
        <f>(D54/99.46)*10</f>
        <v>879.04685300623373</v>
      </c>
      <c r="E55" s="618">
        <f>(E54/99.46)*10</f>
        <v>470422.58194248949</v>
      </c>
      <c r="F55" s="618">
        <f>(F54/99.46)*10</f>
        <v>335212.44721496076</v>
      </c>
      <c r="G55" s="618"/>
      <c r="H55" s="618">
        <f>(H54/99.46)*10</f>
        <v>116309.97385883774</v>
      </c>
      <c r="I55" s="618">
        <f>(I54/99.46)*10</f>
        <v>135210.23527046049</v>
      </c>
      <c r="J55" s="618"/>
      <c r="K55" s="618">
        <f>(K54/99.46)*10</f>
        <v>139751.5584154434</v>
      </c>
      <c r="L55" s="619"/>
      <c r="M55" s="619"/>
      <c r="N55" s="619"/>
      <c r="O55" s="619"/>
      <c r="P55" s="619"/>
      <c r="Q55" s="619"/>
      <c r="R55" s="619"/>
      <c r="S55" s="618">
        <v>2643</v>
      </c>
      <c r="T55" s="619"/>
      <c r="U55" s="619"/>
      <c r="V55" s="618">
        <v>2749</v>
      </c>
      <c r="W55" s="619"/>
      <c r="X55" s="1174"/>
    </row>
    <row r="56" spans="1:24" ht="12" customHeight="1">
      <c r="A56" s="2307" t="s">
        <v>1377</v>
      </c>
      <c r="B56" s="2307"/>
      <c r="C56" s="2307"/>
      <c r="D56" s="2307"/>
      <c r="E56" s="2307"/>
      <c r="F56" s="2307"/>
      <c r="G56" s="9"/>
      <c r="I56" s="50" t="s">
        <v>1674</v>
      </c>
      <c r="J56" s="50"/>
      <c r="K56" s="50"/>
      <c r="L56" s="2308" t="s">
        <v>1304</v>
      </c>
      <c r="M56" s="2308"/>
      <c r="N56" s="2308"/>
      <c r="O56" s="2308"/>
      <c r="P56" s="1808"/>
      <c r="Q56" s="2289" t="s">
        <v>2160</v>
      </c>
      <c r="R56" s="2289"/>
      <c r="S56" s="1808"/>
      <c r="T56" s="50"/>
      <c r="U56" s="33"/>
      <c r="V56" s="13"/>
      <c r="W56" s="50"/>
      <c r="X56" s="52"/>
    </row>
    <row r="57" spans="1:24" ht="9.75" customHeight="1">
      <c r="A57" s="2309"/>
      <c r="B57" s="2309"/>
      <c r="C57" s="2309"/>
      <c r="D57" s="2309"/>
      <c r="E57" s="2310"/>
      <c r="F57" s="2269"/>
      <c r="G57" s="2269"/>
      <c r="H57" s="821"/>
      <c r="I57" s="50"/>
      <c r="J57" s="50"/>
      <c r="K57" s="50"/>
      <c r="L57" s="2311"/>
      <c r="M57" s="2311"/>
      <c r="N57" s="2311"/>
      <c r="O57" s="50"/>
      <c r="P57" s="50"/>
      <c r="Q57" s="50"/>
      <c r="R57" s="50"/>
      <c r="S57" s="31"/>
      <c r="T57" s="50"/>
      <c r="U57" s="50"/>
      <c r="V57" s="50"/>
      <c r="W57" s="50"/>
      <c r="X57" s="52"/>
    </row>
    <row r="58" spans="1:24">
      <c r="F58" s="775"/>
      <c r="N58" s="52"/>
      <c r="S58" s="31"/>
    </row>
    <row r="59" spans="1:24">
      <c r="D59" s="775"/>
      <c r="E59" s="775"/>
      <c r="G59" s="88"/>
      <c r="S59" s="31"/>
      <c r="W59" s="775"/>
    </row>
    <row r="60" spans="1:24">
      <c r="M60" s="52"/>
    </row>
    <row r="61" spans="1:24">
      <c r="M61" s="52"/>
      <c r="P61" s="52"/>
      <c r="Q61" s="52"/>
      <c r="R61" s="52"/>
    </row>
    <row r="62" spans="1:24">
      <c r="M62" s="52"/>
      <c r="N62" s="52"/>
    </row>
    <row r="63" spans="1:24">
      <c r="M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  <c r="N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N71" s="52"/>
    </row>
    <row r="72" spans="13:14">
      <c r="N72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6:F56"/>
    <mergeCell ref="L56:O56"/>
    <mergeCell ref="Q56:R56"/>
    <mergeCell ref="A57:E57"/>
    <mergeCell ref="F57:G57"/>
    <mergeCell ref="L57:N57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5"/>
  <sheetViews>
    <sheetView zoomScale="202" zoomScaleNormal="202" workbookViewId="0">
      <pane xSplit="1" ySplit="3" topLeftCell="B17" activePane="bottomRight" state="frozen"/>
      <selection activeCell="F85" sqref="F85"/>
      <selection pane="topRight" activeCell="F85" sqref="F85"/>
      <selection pane="bottomLeft" activeCell="F85" sqref="F85"/>
      <selection pane="bottomRight" sqref="A1:XFD1048576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12" t="s">
        <v>1343</v>
      </c>
      <c r="B1" s="2312"/>
      <c r="C1" s="2312"/>
      <c r="D1" s="2312"/>
      <c r="E1" s="2312"/>
      <c r="F1" s="2313" t="s">
        <v>1420</v>
      </c>
      <c r="G1" s="2313"/>
      <c r="H1" s="2313"/>
      <c r="I1" s="2313"/>
      <c r="J1" s="989" t="s">
        <v>274</v>
      </c>
    </row>
    <row r="2" spans="1:10" s="5" customFormat="1" ht="11.1" customHeight="1">
      <c r="A2" s="1829"/>
      <c r="B2" s="1829"/>
      <c r="C2" s="1829"/>
      <c r="D2" s="1829"/>
      <c r="G2" s="70"/>
      <c r="H2" s="90"/>
      <c r="I2" s="90"/>
      <c r="J2" s="96"/>
    </row>
    <row r="3" spans="1:10" s="107" customFormat="1" ht="26.45" customHeight="1">
      <c r="A3" s="1555" t="s">
        <v>974</v>
      </c>
      <c r="B3" s="725" t="s">
        <v>1405</v>
      </c>
      <c r="C3" s="1804" t="s">
        <v>1448</v>
      </c>
      <c r="D3" s="1804" t="s">
        <v>1406</v>
      </c>
      <c r="E3" s="1804" t="s">
        <v>1408</v>
      </c>
      <c r="F3" s="1555" t="s">
        <v>975</v>
      </c>
      <c r="G3" s="1804" t="s">
        <v>1056</v>
      </c>
      <c r="H3" s="1804" t="s">
        <v>1407</v>
      </c>
      <c r="I3" s="1555" t="s">
        <v>1406</v>
      </c>
      <c r="J3" s="1555" t="s">
        <v>1409</v>
      </c>
    </row>
    <row r="4" spans="1:10" s="12" customFormat="1" ht="12.2" customHeight="1">
      <c r="A4" s="327" t="s">
        <v>81</v>
      </c>
      <c r="B4" s="313">
        <v>6153.68</v>
      </c>
      <c r="C4" s="315">
        <v>256353.55100000001</v>
      </c>
      <c r="D4" s="315">
        <v>21744.6</v>
      </c>
      <c r="E4" s="313">
        <v>273</v>
      </c>
      <c r="F4" s="870">
        <v>45292</v>
      </c>
      <c r="G4" s="310">
        <v>6242.87</v>
      </c>
      <c r="H4" s="982">
        <v>443.79</v>
      </c>
      <c r="I4" s="982">
        <v>98895.8</v>
      </c>
      <c r="J4" s="309">
        <v>408</v>
      </c>
    </row>
    <row r="5" spans="1:10" s="195" customFormat="1" ht="12.2" customHeight="1">
      <c r="A5" s="148" t="s">
        <v>192</v>
      </c>
      <c r="B5" s="29">
        <v>6117.23</v>
      </c>
      <c r="C5" s="30">
        <v>325879.77</v>
      </c>
      <c r="D5" s="30">
        <v>30104.5</v>
      </c>
      <c r="E5" s="29">
        <v>267</v>
      </c>
      <c r="F5" s="839">
        <v>45293</v>
      </c>
      <c r="G5" s="378">
        <v>6233.42</v>
      </c>
      <c r="H5" s="378">
        <v>516.89</v>
      </c>
      <c r="I5" s="564">
        <f>I4</f>
        <v>98895.8</v>
      </c>
      <c r="J5" s="267">
        <f>J4</f>
        <v>408</v>
      </c>
    </row>
    <row r="6" spans="1:10" s="583" customFormat="1" ht="12.2" customHeight="1">
      <c r="A6" s="413" t="s">
        <v>757</v>
      </c>
      <c r="B6" s="310">
        <v>4572.88</v>
      </c>
      <c r="C6" s="310">
        <v>117145.07</v>
      </c>
      <c r="D6" s="310">
        <v>38410.899999999994</v>
      </c>
      <c r="E6" s="309">
        <v>279</v>
      </c>
      <c r="F6" s="870">
        <v>45294</v>
      </c>
      <c r="G6" s="392">
        <v>6236.07</v>
      </c>
      <c r="H6" s="392">
        <v>292.14</v>
      </c>
      <c r="I6" s="982">
        <f>I5</f>
        <v>98895.8</v>
      </c>
      <c r="J6" s="309">
        <f>J5</f>
        <v>408</v>
      </c>
    </row>
    <row r="7" spans="1:10" s="669" customFormat="1" ht="12.2" customHeight="1">
      <c r="A7" s="399" t="s">
        <v>866</v>
      </c>
      <c r="B7" s="268">
        <v>4385.7700000000004</v>
      </c>
      <c r="C7" s="268">
        <v>85716.56</v>
      </c>
      <c r="D7" s="268">
        <v>43407.3</v>
      </c>
      <c r="E7" s="267">
        <v>296</v>
      </c>
      <c r="F7" s="839">
        <v>45295</v>
      </c>
      <c r="G7" s="378">
        <v>6244.17</v>
      </c>
      <c r="H7" s="378">
        <v>344.46</v>
      </c>
      <c r="I7" s="564">
        <f t="shared" ref="I7:I13" si="0">I6</f>
        <v>98895.8</v>
      </c>
      <c r="J7" s="267">
        <f>J5</f>
        <v>408</v>
      </c>
    </row>
    <row r="8" spans="1:10" s="74" customFormat="1" ht="12.2" customHeight="1">
      <c r="A8" s="327" t="s">
        <v>1051</v>
      </c>
      <c r="B8" s="315">
        <v>4480.5200000000004</v>
      </c>
      <c r="C8" s="315">
        <v>112539.85800000001</v>
      </c>
      <c r="D8" s="315">
        <v>48255.5</v>
      </c>
      <c r="E8" s="313">
        <v>307</v>
      </c>
      <c r="F8" s="870">
        <v>45299</v>
      </c>
      <c r="G8" s="392">
        <v>6269.51</v>
      </c>
      <c r="H8" s="392">
        <v>441.14</v>
      </c>
      <c r="I8" s="982">
        <f t="shared" si="0"/>
        <v>98895.8</v>
      </c>
      <c r="J8" s="309">
        <f>J5</f>
        <v>408</v>
      </c>
    </row>
    <row r="9" spans="1:10" s="499" customFormat="1" ht="12.2" customHeight="1">
      <c r="A9" s="399" t="s">
        <v>1105</v>
      </c>
      <c r="B9" s="268">
        <v>4583.1099999999997</v>
      </c>
      <c r="C9" s="268">
        <v>112351.91100000001</v>
      </c>
      <c r="D9" s="268">
        <v>54300.800000000003</v>
      </c>
      <c r="E9" s="267">
        <v>326</v>
      </c>
      <c r="F9" s="839">
        <v>45300</v>
      </c>
      <c r="G9" s="378">
        <v>6267.82</v>
      </c>
      <c r="H9" s="378">
        <v>495.4</v>
      </c>
      <c r="I9" s="564">
        <f t="shared" si="0"/>
        <v>98895.8</v>
      </c>
      <c r="J9" s="267">
        <f>J4</f>
        <v>408</v>
      </c>
    </row>
    <row r="10" spans="1:10" s="74" customFormat="1" ht="12.2" customHeight="1">
      <c r="A10" s="413" t="s">
        <v>1231</v>
      </c>
      <c r="B10" s="310">
        <v>4507.58</v>
      </c>
      <c r="C10" s="310">
        <v>107246.07099999998</v>
      </c>
      <c r="D10" s="310">
        <v>57846.400000000001</v>
      </c>
      <c r="E10" s="309">
        <v>330</v>
      </c>
      <c r="F10" s="870">
        <v>45301</v>
      </c>
      <c r="G10" s="392">
        <v>6285.25</v>
      </c>
      <c r="H10" s="392">
        <v>508.48</v>
      </c>
      <c r="I10" s="982">
        <f t="shared" si="0"/>
        <v>98895.8</v>
      </c>
      <c r="J10" s="309">
        <f>J4</f>
        <v>408</v>
      </c>
    </row>
    <row r="11" spans="1:10" s="499" customFormat="1" ht="12.2" customHeight="1">
      <c r="A11" s="399" t="s">
        <v>1263</v>
      </c>
      <c r="B11" s="268">
        <v>5656.05</v>
      </c>
      <c r="C11" s="268">
        <v>180522.2</v>
      </c>
      <c r="D11" s="268">
        <v>61656.5</v>
      </c>
      <c r="E11" s="267">
        <v>334</v>
      </c>
      <c r="F11" s="839">
        <v>45302</v>
      </c>
      <c r="G11" s="378">
        <v>6301.7</v>
      </c>
      <c r="H11" s="378">
        <v>752.85</v>
      </c>
      <c r="I11" s="564">
        <f t="shared" si="0"/>
        <v>98895.8</v>
      </c>
      <c r="J11" s="267">
        <f>J4</f>
        <v>408</v>
      </c>
    </row>
    <row r="12" spans="1:10" s="499" customFormat="1" ht="12.2" customHeight="1">
      <c r="A12" s="413" t="s">
        <v>1392</v>
      </c>
      <c r="B12" s="310">
        <v>5405.46</v>
      </c>
      <c r="C12" s="310">
        <v>159085.19200000001</v>
      </c>
      <c r="D12" s="310">
        <v>67071.899999999994</v>
      </c>
      <c r="E12" s="309">
        <v>343</v>
      </c>
      <c r="F12" s="870">
        <v>45305</v>
      </c>
      <c r="G12" s="392">
        <v>6302.81</v>
      </c>
      <c r="H12" s="392">
        <v>764.94</v>
      </c>
      <c r="I12" s="982">
        <f t="shared" si="0"/>
        <v>98895.8</v>
      </c>
      <c r="J12" s="309">
        <f>J4</f>
        <v>408</v>
      </c>
    </row>
    <row r="13" spans="1:10" s="499" customFormat="1" ht="12.2" customHeight="1">
      <c r="A13" s="399" t="s">
        <v>1511</v>
      </c>
      <c r="B13" s="268">
        <v>5421.62</v>
      </c>
      <c r="C13" s="268">
        <v>145965.53900000002</v>
      </c>
      <c r="D13" s="268">
        <v>71962.899999999994</v>
      </c>
      <c r="E13" s="267">
        <v>355</v>
      </c>
      <c r="F13" s="839">
        <v>45306</v>
      </c>
      <c r="G13" s="378">
        <v>6318.08</v>
      </c>
      <c r="H13" s="378">
        <v>674.27</v>
      </c>
      <c r="I13" s="564">
        <f t="shared" si="0"/>
        <v>98895.8</v>
      </c>
      <c r="J13" s="267">
        <f>J4</f>
        <v>408</v>
      </c>
    </row>
    <row r="14" spans="1:10" s="499" customFormat="1" ht="12.2" customHeight="1">
      <c r="A14" s="640" t="s">
        <v>1602</v>
      </c>
      <c r="B14" s="353">
        <v>3989.09</v>
      </c>
      <c r="C14" s="353">
        <v>78042.763000000006</v>
      </c>
      <c r="D14" s="353">
        <v>75486.8</v>
      </c>
      <c r="E14" s="560">
        <v>362</v>
      </c>
      <c r="F14" s="870">
        <v>45307</v>
      </c>
      <c r="G14" s="392">
        <v>6331.61</v>
      </c>
      <c r="H14" s="982">
        <v>800.85</v>
      </c>
      <c r="I14" s="982">
        <f>I12</f>
        <v>98895.8</v>
      </c>
      <c r="J14" s="309">
        <f>J5</f>
        <v>408</v>
      </c>
    </row>
    <row r="15" spans="1:10" s="499" customFormat="1" ht="12.2" customHeight="1">
      <c r="A15" s="588" t="s">
        <v>1668</v>
      </c>
      <c r="B15" s="360">
        <v>6150.48</v>
      </c>
      <c r="C15" s="360">
        <v>254697.05800000005</v>
      </c>
      <c r="D15" s="360">
        <v>85204.7</v>
      </c>
      <c r="E15" s="511">
        <v>382</v>
      </c>
      <c r="F15" s="839">
        <v>45308</v>
      </c>
      <c r="G15" s="378">
        <v>6346.21</v>
      </c>
      <c r="H15" s="564">
        <v>760.08</v>
      </c>
      <c r="I15" s="564">
        <f>I13</f>
        <v>98895.8</v>
      </c>
      <c r="J15" s="267">
        <f>J6</f>
        <v>408</v>
      </c>
    </row>
    <row r="16" spans="1:10" s="499" customFormat="1" ht="12.2" customHeight="1">
      <c r="A16" s="640" t="s">
        <v>2018</v>
      </c>
      <c r="B16" s="353">
        <f>B28</f>
        <v>6376.94</v>
      </c>
      <c r="C16" s="353">
        <f>SUM(C17:C28)</f>
        <v>318607.01500000001</v>
      </c>
      <c r="D16" s="353">
        <f>D28</f>
        <v>92764.687000000005</v>
      </c>
      <c r="E16" s="560">
        <f>E28</f>
        <v>395</v>
      </c>
      <c r="F16" s="870">
        <v>45309</v>
      </c>
      <c r="G16" s="392">
        <v>6336.76</v>
      </c>
      <c r="H16" s="982">
        <v>637.11</v>
      </c>
      <c r="I16" s="982">
        <f>I13</f>
        <v>98895.8</v>
      </c>
      <c r="J16" s="309">
        <f>J7</f>
        <v>408</v>
      </c>
    </row>
    <row r="17" spans="1:10" s="499" customFormat="1" ht="12.2" customHeight="1">
      <c r="A17" s="561" t="s">
        <v>576</v>
      </c>
      <c r="B17" s="268">
        <v>6425.26</v>
      </c>
      <c r="C17" s="268">
        <v>23303.386999999999</v>
      </c>
      <c r="D17" s="268">
        <f>84741.4+400</f>
        <v>85141.4</v>
      </c>
      <c r="E17" s="267">
        <f>379+2</f>
        <v>381</v>
      </c>
      <c r="F17" s="839">
        <v>45312</v>
      </c>
      <c r="G17" s="378">
        <v>6240.25</v>
      </c>
      <c r="H17" s="564">
        <v>588.87</v>
      </c>
      <c r="I17" s="564">
        <f>I13</f>
        <v>98895.8</v>
      </c>
      <c r="J17" s="267">
        <f>J8</f>
        <v>408</v>
      </c>
    </row>
    <row r="18" spans="1:10" s="499" customFormat="1" ht="12.2" customHeight="1">
      <c r="A18" s="603" t="s">
        <v>577</v>
      </c>
      <c r="B18" s="310">
        <v>6869.25</v>
      </c>
      <c r="C18" s="310">
        <v>45118.692999999999</v>
      </c>
      <c r="D18" s="310">
        <f>85777.7+400</f>
        <v>86177.7</v>
      </c>
      <c r="E18" s="309">
        <f>380+2</f>
        <v>382</v>
      </c>
      <c r="F18" s="870">
        <v>45313</v>
      </c>
      <c r="G18" s="392">
        <v>6254.31</v>
      </c>
      <c r="H18" s="982">
        <v>1042.22</v>
      </c>
      <c r="I18" s="982">
        <f>I12</f>
        <v>98895.8</v>
      </c>
      <c r="J18" s="309">
        <f>J10</f>
        <v>408</v>
      </c>
    </row>
    <row r="19" spans="1:10" s="499" customFormat="1" ht="12.2" customHeight="1">
      <c r="A19" s="561" t="s">
        <v>571</v>
      </c>
      <c r="B19" s="268">
        <v>7329.04</v>
      </c>
      <c r="C19" s="268">
        <v>50706.398000000001</v>
      </c>
      <c r="D19" s="268">
        <f>85873.6+400</f>
        <v>86273.600000000006</v>
      </c>
      <c r="E19" s="267">
        <f>380+2</f>
        <v>382</v>
      </c>
      <c r="F19" s="839">
        <v>45314</v>
      </c>
      <c r="G19" s="268">
        <v>6276.26</v>
      </c>
      <c r="H19" s="268">
        <v>1176.95</v>
      </c>
      <c r="I19" s="564">
        <f>I13</f>
        <v>98895.8</v>
      </c>
      <c r="J19" s="267">
        <f>J11</f>
        <v>408</v>
      </c>
    </row>
    <row r="20" spans="1:10" s="499" customFormat="1" ht="12.2" customHeight="1">
      <c r="A20" s="603" t="s">
        <v>578</v>
      </c>
      <c r="B20" s="310">
        <v>7000.95</v>
      </c>
      <c r="C20" s="310">
        <v>37017.273999999998</v>
      </c>
      <c r="D20" s="310">
        <f>85879.2+400</f>
        <v>86279.2</v>
      </c>
      <c r="E20" s="309">
        <f>380+2</f>
        <v>382</v>
      </c>
      <c r="F20" s="870">
        <v>45315</v>
      </c>
      <c r="G20" s="310">
        <v>6226.65</v>
      </c>
      <c r="H20" s="310">
        <v>1173.22</v>
      </c>
      <c r="I20" s="982">
        <f>I14</f>
        <v>98895.8</v>
      </c>
      <c r="J20" s="309">
        <f>J12</f>
        <v>408</v>
      </c>
    </row>
    <row r="21" spans="1:10" s="499" customFormat="1" ht="12.2" customHeight="1">
      <c r="A21" s="561" t="s">
        <v>579</v>
      </c>
      <c r="B21" s="268">
        <v>6703.26</v>
      </c>
      <c r="C21" s="268">
        <v>26682.893</v>
      </c>
      <c r="D21" s="268">
        <f>86058.4+400</f>
        <v>86458.4</v>
      </c>
      <c r="E21" s="267">
        <f>382+2</f>
        <v>384</v>
      </c>
      <c r="F21" s="839">
        <v>45316</v>
      </c>
      <c r="G21" s="378">
        <v>6156.41</v>
      </c>
      <c r="H21" s="564">
        <v>870.91</v>
      </c>
      <c r="I21" s="564">
        <f>I17</f>
        <v>98895.8</v>
      </c>
      <c r="J21" s="267">
        <f>J14</f>
        <v>408</v>
      </c>
    </row>
    <row r="22" spans="1:10" s="499" customFormat="1" ht="12.2" customHeight="1">
      <c r="A22" s="603" t="s">
        <v>572</v>
      </c>
      <c r="B22" s="310">
        <v>6756.66</v>
      </c>
      <c r="C22" s="310">
        <v>19365.083999999999</v>
      </c>
      <c r="D22" s="310">
        <f>86622.1+580</f>
        <v>87202.1</v>
      </c>
      <c r="E22" s="309">
        <f>382+5</f>
        <v>387</v>
      </c>
      <c r="F22" s="870">
        <v>45319</v>
      </c>
      <c r="G22" s="392">
        <v>6079.06</v>
      </c>
      <c r="H22" s="982">
        <v>880.62</v>
      </c>
      <c r="I22" s="982">
        <f>I17</f>
        <v>98895.8</v>
      </c>
      <c r="J22" s="309">
        <f>J14</f>
        <v>408</v>
      </c>
    </row>
    <row r="23" spans="1:10" s="499" customFormat="1" ht="12.2" customHeight="1">
      <c r="A23" s="561" t="s">
        <v>580</v>
      </c>
      <c r="B23" s="268">
        <v>6926.29</v>
      </c>
      <c r="C23" s="268">
        <v>31261.218000000001</v>
      </c>
      <c r="D23" s="268">
        <f>87515.7+3600</f>
        <v>91115.7</v>
      </c>
      <c r="E23" s="267">
        <f>385+7</f>
        <v>392</v>
      </c>
      <c r="F23" s="839">
        <v>45320</v>
      </c>
      <c r="G23" s="29">
        <v>6097.23</v>
      </c>
      <c r="H23" s="29">
        <v>662.45</v>
      </c>
      <c r="I23" s="30">
        <f>I18</f>
        <v>98895.8</v>
      </c>
      <c r="J23" s="29">
        <f>J15</f>
        <v>408</v>
      </c>
    </row>
    <row r="24" spans="1:10" s="499" customFormat="1" ht="12.2" customHeight="1">
      <c r="A24" s="603" t="s">
        <v>581</v>
      </c>
      <c r="B24" s="310">
        <v>6739.45</v>
      </c>
      <c r="C24" s="310">
        <v>22099.846000000001</v>
      </c>
      <c r="D24" s="310">
        <f>87540.9+3600</f>
        <v>91140.9</v>
      </c>
      <c r="E24" s="309">
        <f>385+7</f>
        <v>392</v>
      </c>
      <c r="F24" s="870">
        <v>45321</v>
      </c>
      <c r="G24" s="313">
        <v>6150.22</v>
      </c>
      <c r="H24" s="313">
        <v>939.87</v>
      </c>
      <c r="I24" s="315">
        <f>I18</f>
        <v>98895.8</v>
      </c>
      <c r="J24" s="313">
        <f>J16</f>
        <v>408</v>
      </c>
    </row>
    <row r="25" spans="1:10" s="499" customFormat="1" ht="12.2" customHeight="1" thickBot="1">
      <c r="A25" s="561" t="s">
        <v>573</v>
      </c>
      <c r="B25" s="268">
        <v>6757.84</v>
      </c>
      <c r="C25" s="268">
        <v>18542.807000000001</v>
      </c>
      <c r="D25" s="268">
        <f>87634.8+3650</f>
        <v>91284.800000000003</v>
      </c>
      <c r="E25" s="267">
        <f>385+8</f>
        <v>393</v>
      </c>
      <c r="F25" s="1830">
        <v>45322</v>
      </c>
      <c r="G25" s="1831">
        <v>6153.34</v>
      </c>
      <c r="H25" s="1831">
        <v>979.71</v>
      </c>
      <c r="I25" s="1832">
        <f>I18</f>
        <v>98895.8</v>
      </c>
      <c r="J25" s="1831">
        <f>J17</f>
        <v>408</v>
      </c>
    </row>
    <row r="26" spans="1:10" s="499" customFormat="1" ht="12.2" customHeight="1">
      <c r="A26" s="603" t="s">
        <v>582</v>
      </c>
      <c r="B26" s="310">
        <v>6655.67</v>
      </c>
      <c r="C26" s="310">
        <v>12105.129000000001</v>
      </c>
      <c r="D26" s="310">
        <f>88023+3650</f>
        <v>91673</v>
      </c>
      <c r="E26" s="309">
        <f>385+8</f>
        <v>393</v>
      </c>
    </row>
    <row r="27" spans="1:10" s="499" customFormat="1" ht="12.2" customHeight="1">
      <c r="A27" s="561" t="s">
        <v>583</v>
      </c>
      <c r="B27" s="268">
        <v>6392.86</v>
      </c>
      <c r="C27" s="268">
        <v>14464.505999999999</v>
      </c>
      <c r="D27" s="268">
        <f>88355.9+3650</f>
        <v>92005.9</v>
      </c>
      <c r="E27" s="267">
        <f>385+8</f>
        <v>393</v>
      </c>
      <c r="F27" s="839"/>
      <c r="G27" s="29"/>
      <c r="H27" s="216"/>
      <c r="I27" s="30"/>
      <c r="J27" s="29"/>
    </row>
    <row r="28" spans="1:10" s="499" customFormat="1" ht="12.2" customHeight="1">
      <c r="A28" s="603" t="s">
        <v>574</v>
      </c>
      <c r="B28" s="310">
        <v>6376.94</v>
      </c>
      <c r="C28" s="310">
        <v>17939.78</v>
      </c>
      <c r="D28" s="310">
        <f>88714.687+4050</f>
        <v>92764.687000000005</v>
      </c>
      <c r="E28" s="309">
        <f>386+9</f>
        <v>395</v>
      </c>
      <c r="F28" s="528"/>
      <c r="G28" s="29"/>
      <c r="H28" s="216"/>
      <c r="I28" s="30"/>
      <c r="J28" s="29"/>
    </row>
    <row r="29" spans="1:10" s="499" customFormat="1" ht="12.2" customHeight="1">
      <c r="A29" s="588" t="s">
        <v>2299</v>
      </c>
      <c r="B29" s="360">
        <f>B41</f>
        <v>6344.09</v>
      </c>
      <c r="C29" s="360">
        <f>SUM(C30:C41)</f>
        <v>191087.26499999996</v>
      </c>
      <c r="D29" s="360">
        <f>D41</f>
        <v>96843.1</v>
      </c>
      <c r="E29" s="511">
        <f>E41</f>
        <v>403</v>
      </c>
      <c r="F29" s="528"/>
      <c r="G29" s="29"/>
      <c r="H29" s="216"/>
      <c r="I29" s="30"/>
      <c r="J29" s="29"/>
    </row>
    <row r="30" spans="1:10" s="499" customFormat="1" ht="12.2" customHeight="1">
      <c r="A30" s="603" t="s">
        <v>576</v>
      </c>
      <c r="B30" s="310">
        <v>6133.96</v>
      </c>
      <c r="C30" s="310">
        <v>12284.123</v>
      </c>
      <c r="D30" s="310">
        <f>88899.3+4050</f>
        <v>92949.3</v>
      </c>
      <c r="E30" s="309">
        <f>386+9</f>
        <v>395</v>
      </c>
      <c r="F30" s="528"/>
      <c r="G30" s="29"/>
      <c r="H30" s="216"/>
      <c r="I30" s="30"/>
      <c r="J30" s="29"/>
    </row>
    <row r="31" spans="1:10" s="499" customFormat="1" ht="12.2" customHeight="1">
      <c r="A31" s="561" t="s">
        <v>577</v>
      </c>
      <c r="B31" s="268">
        <v>6457.22</v>
      </c>
      <c r="C31" s="268">
        <v>25472.400000000001</v>
      </c>
      <c r="D31" s="268">
        <f>89195.9+4050</f>
        <v>93245.9</v>
      </c>
      <c r="E31" s="267">
        <f>386+9</f>
        <v>395</v>
      </c>
      <c r="F31" s="528"/>
      <c r="G31" s="29"/>
      <c r="H31" s="216"/>
      <c r="I31" s="30"/>
      <c r="J31" s="29"/>
    </row>
    <row r="32" spans="1:10" s="499" customFormat="1" ht="12.2" customHeight="1">
      <c r="A32" s="603" t="s">
        <v>571</v>
      </c>
      <c r="B32" s="310">
        <v>6512.89</v>
      </c>
      <c r="C32" s="310">
        <v>35480.243999999999</v>
      </c>
      <c r="D32" s="310">
        <f>89309.1+4050</f>
        <v>93359.1</v>
      </c>
      <c r="E32" s="309">
        <f>387+9</f>
        <v>396</v>
      </c>
      <c r="F32" s="528"/>
      <c r="G32" s="29"/>
      <c r="H32" s="216"/>
      <c r="I32" s="30"/>
      <c r="J32" s="29"/>
    </row>
    <row r="33" spans="1:10" s="499" customFormat="1" ht="12.2" customHeight="1">
      <c r="A33" s="561" t="s">
        <v>578</v>
      </c>
      <c r="B33" s="268">
        <v>6307.34</v>
      </c>
      <c r="C33" s="268">
        <v>21091.73</v>
      </c>
      <c r="D33" s="268">
        <f>89467+4050</f>
        <v>93517</v>
      </c>
      <c r="E33" s="267">
        <v>398</v>
      </c>
      <c r="F33" s="528"/>
      <c r="G33" s="29"/>
      <c r="H33" s="216"/>
      <c r="I33" s="30"/>
      <c r="J33" s="29"/>
    </row>
    <row r="34" spans="1:10" s="499" customFormat="1" ht="12.2" customHeight="1">
      <c r="A34" s="603" t="s">
        <v>579</v>
      </c>
      <c r="B34" s="310">
        <v>6235.95</v>
      </c>
      <c r="C34" s="310">
        <v>16327.03</v>
      </c>
      <c r="D34" s="310">
        <v>94458.64</v>
      </c>
      <c r="E34" s="309">
        <v>399</v>
      </c>
      <c r="F34" s="528"/>
      <c r="G34" s="29"/>
      <c r="H34" s="216"/>
      <c r="I34" s="30"/>
      <c r="J34" s="29"/>
    </row>
    <row r="35" spans="1:10" s="499" customFormat="1" ht="12.2" customHeight="1">
      <c r="A35" s="561" t="s">
        <v>572</v>
      </c>
      <c r="B35" s="268">
        <v>6206.81</v>
      </c>
      <c r="C35" s="268">
        <v>7231.4</v>
      </c>
      <c r="D35" s="268">
        <v>94676</v>
      </c>
      <c r="E35" s="267">
        <v>400</v>
      </c>
      <c r="F35" s="528"/>
      <c r="G35" s="29"/>
      <c r="H35" s="216"/>
      <c r="I35" s="30"/>
      <c r="J35" s="29"/>
    </row>
    <row r="36" spans="1:10" s="499" customFormat="1" ht="12.2" customHeight="1">
      <c r="A36" s="603" t="s">
        <v>580</v>
      </c>
      <c r="B36" s="310">
        <v>6267.05</v>
      </c>
      <c r="C36" s="310">
        <v>11726.64</v>
      </c>
      <c r="D36" s="310">
        <v>94719.8</v>
      </c>
      <c r="E36" s="309">
        <v>400</v>
      </c>
      <c r="F36" s="528"/>
      <c r="G36" s="29"/>
      <c r="H36" s="216"/>
      <c r="I36" s="30"/>
      <c r="J36" s="29"/>
    </row>
    <row r="37" spans="1:10" s="499" customFormat="1" ht="12.2" customHeight="1">
      <c r="A37" s="561" t="s">
        <v>581</v>
      </c>
      <c r="B37" s="268">
        <v>6216.95</v>
      </c>
      <c r="C37" s="268">
        <v>8628.99</v>
      </c>
      <c r="D37" s="268">
        <f>90619.5+4070</f>
        <v>94689.5</v>
      </c>
      <c r="E37" s="267">
        <f>390+10</f>
        <v>400</v>
      </c>
      <c r="F37" s="528"/>
      <c r="G37" s="29"/>
      <c r="H37" s="216"/>
      <c r="I37" s="30"/>
      <c r="J37" s="29"/>
    </row>
    <row r="38" spans="1:10" s="499" customFormat="1" ht="12.2" customHeight="1">
      <c r="A38" s="603" t="s">
        <v>573</v>
      </c>
      <c r="B38" s="310">
        <v>6206.8</v>
      </c>
      <c r="C38" s="310">
        <v>9406.41</v>
      </c>
      <c r="D38" s="310">
        <v>95159.1</v>
      </c>
      <c r="E38" s="309">
        <v>401</v>
      </c>
      <c r="F38" s="528"/>
      <c r="G38" s="29"/>
      <c r="H38" s="216"/>
      <c r="I38" s="30"/>
      <c r="J38" s="29"/>
    </row>
    <row r="39" spans="1:10" s="499" customFormat="1" ht="12.2" customHeight="1">
      <c r="A39" s="561" t="s">
        <v>582</v>
      </c>
      <c r="B39" s="268">
        <v>6262.69</v>
      </c>
      <c r="C39" s="268">
        <v>10296.299999999999</v>
      </c>
      <c r="D39" s="268">
        <v>95231</v>
      </c>
      <c r="E39" s="267">
        <v>401</v>
      </c>
      <c r="F39" s="528"/>
      <c r="G39" s="29"/>
      <c r="H39" s="216"/>
      <c r="I39" s="30"/>
      <c r="J39" s="29"/>
    </row>
    <row r="40" spans="1:10" s="499" customFormat="1" ht="12.2" customHeight="1">
      <c r="A40" s="603" t="s">
        <v>583</v>
      </c>
      <c r="B40" s="310">
        <v>6339.74</v>
      </c>
      <c r="C40" s="310">
        <v>18461.91</v>
      </c>
      <c r="D40" s="310">
        <v>95643.5</v>
      </c>
      <c r="E40" s="309">
        <v>402</v>
      </c>
      <c r="F40" s="528"/>
      <c r="G40" s="29"/>
      <c r="H40" s="216"/>
      <c r="I40" s="30"/>
      <c r="J40" s="29"/>
    </row>
    <row r="41" spans="1:10" s="499" customFormat="1" ht="12.2" customHeight="1">
      <c r="A41" s="561" t="s">
        <v>574</v>
      </c>
      <c r="B41" s="268">
        <v>6344.09</v>
      </c>
      <c r="C41" s="268">
        <v>14680.088</v>
      </c>
      <c r="D41" s="268">
        <v>96843.1</v>
      </c>
      <c r="E41" s="267">
        <f>392+11</f>
        <v>403</v>
      </c>
      <c r="F41" s="528"/>
      <c r="G41" s="29"/>
      <c r="H41" s="216"/>
      <c r="I41" s="30"/>
      <c r="J41" s="29"/>
    </row>
    <row r="42" spans="1:10" s="499" customFormat="1" ht="12.2" customHeight="1">
      <c r="A42" s="640" t="s">
        <v>2515</v>
      </c>
      <c r="B42" s="310"/>
      <c r="C42" s="310"/>
      <c r="D42" s="310"/>
      <c r="E42" s="309"/>
      <c r="F42" s="528"/>
      <c r="G42" s="29"/>
      <c r="H42" s="216"/>
      <c r="I42" s="30"/>
      <c r="J42" s="29"/>
    </row>
    <row r="43" spans="1:10" s="499" customFormat="1" ht="12.2" customHeight="1">
      <c r="A43" s="561" t="s">
        <v>576</v>
      </c>
      <c r="B43" s="268">
        <v>6324.81</v>
      </c>
      <c r="C43" s="268">
        <v>17127.598000000002</v>
      </c>
      <c r="D43" s="268">
        <v>97106</v>
      </c>
      <c r="E43" s="267">
        <f>392+11</f>
        <v>403</v>
      </c>
      <c r="F43" s="528"/>
      <c r="G43" s="29"/>
      <c r="H43" s="216"/>
      <c r="I43" s="30"/>
      <c r="J43" s="29"/>
    </row>
    <row r="44" spans="1:10" s="499" customFormat="1" ht="12.2" customHeight="1">
      <c r="A44" s="603" t="s">
        <v>577</v>
      </c>
      <c r="B44" s="310">
        <v>6299.5</v>
      </c>
      <c r="C44" s="310">
        <v>9652.4330000000009</v>
      </c>
      <c r="D44" s="310">
        <f>97241.5+4471</f>
        <v>101712.5</v>
      </c>
      <c r="E44" s="309">
        <f>403+11</f>
        <v>414</v>
      </c>
      <c r="F44" s="528"/>
      <c r="G44" s="29"/>
      <c r="H44" s="216"/>
      <c r="I44" s="30"/>
      <c r="J44" s="29"/>
    </row>
    <row r="45" spans="1:10" s="499" customFormat="1" ht="12.2" customHeight="1">
      <c r="A45" s="561" t="s">
        <v>571</v>
      </c>
      <c r="B45" s="268">
        <v>6284.63</v>
      </c>
      <c r="C45" s="268">
        <v>11306.359</v>
      </c>
      <c r="D45" s="268">
        <f>97277.5+4471</f>
        <v>101748.5</v>
      </c>
      <c r="E45" s="267">
        <f>403+11</f>
        <v>414</v>
      </c>
      <c r="F45" s="528"/>
      <c r="G45" s="29"/>
      <c r="H45" s="216"/>
      <c r="I45" s="30"/>
      <c r="J45" s="29"/>
    </row>
    <row r="46" spans="1:10" s="499" customFormat="1" ht="12.2" customHeight="1">
      <c r="A46" s="603" t="s">
        <v>578</v>
      </c>
      <c r="B46" s="310">
        <v>6278.66</v>
      </c>
      <c r="C46" s="310">
        <v>10068.748</v>
      </c>
      <c r="D46" s="310">
        <f>92875.5+4471</f>
        <v>97346.5</v>
      </c>
      <c r="E46" s="309">
        <f>392+11</f>
        <v>403</v>
      </c>
      <c r="F46" s="528"/>
      <c r="G46" s="29"/>
      <c r="H46" s="216"/>
      <c r="I46" s="30"/>
      <c r="J46" s="29"/>
    </row>
    <row r="47" spans="1:10" s="499" customFormat="1" ht="12.2" customHeight="1">
      <c r="A47" s="561" t="s">
        <v>579</v>
      </c>
      <c r="B47" s="268">
        <v>6223.03</v>
      </c>
      <c r="C47" s="268">
        <v>9498.1970000000001</v>
      </c>
      <c r="D47" s="268">
        <f>92876.4+4521</f>
        <v>97397.4</v>
      </c>
      <c r="E47" s="267">
        <f>392+12</f>
        <v>404</v>
      </c>
      <c r="F47" s="528"/>
      <c r="G47" s="29"/>
      <c r="H47" s="216"/>
      <c r="I47" s="30"/>
      <c r="J47" s="29"/>
    </row>
    <row r="48" spans="1:10" s="499" customFormat="1" ht="12.2" customHeight="1">
      <c r="A48" s="603" t="s">
        <v>572</v>
      </c>
      <c r="B48" s="310">
        <v>6246.5</v>
      </c>
      <c r="C48" s="310">
        <v>10206.054</v>
      </c>
      <c r="D48" s="310">
        <f>92814.8+4900.6</f>
        <v>97715.400000000009</v>
      </c>
      <c r="E48" s="309">
        <f>392+13</f>
        <v>405</v>
      </c>
      <c r="F48" s="528"/>
      <c r="G48" s="29"/>
      <c r="H48" s="216"/>
      <c r="I48" s="30"/>
      <c r="J48" s="29"/>
    </row>
    <row r="49" spans="1:10" s="499" customFormat="1" ht="12.2" customHeight="1" thickBot="1">
      <c r="A49" s="1723" t="s">
        <v>580</v>
      </c>
      <c r="B49" s="749">
        <v>6153.34</v>
      </c>
      <c r="C49" s="749">
        <v>15747.22</v>
      </c>
      <c r="D49" s="749">
        <v>98895.8</v>
      </c>
      <c r="E49" s="1252">
        <v>408</v>
      </c>
      <c r="F49" s="528"/>
      <c r="G49" s="29"/>
      <c r="H49" s="216"/>
      <c r="I49" s="30"/>
      <c r="J49" s="29"/>
    </row>
    <row r="50" spans="1:10" s="499" customFormat="1" ht="11.1" customHeight="1">
      <c r="A50" s="250" t="s">
        <v>2028</v>
      </c>
      <c r="B50" s="953"/>
      <c r="C50" s="953"/>
      <c r="D50" s="953"/>
      <c r="E50" s="953"/>
      <c r="F50" s="528"/>
      <c r="G50" s="29"/>
      <c r="H50" s="216"/>
      <c r="I50" s="30"/>
      <c r="J50" s="29"/>
    </row>
    <row r="51" spans="1:10" s="499" customFormat="1" ht="11.1" customHeight="1">
      <c r="A51" s="105" t="s">
        <v>2027</v>
      </c>
      <c r="B51" s="28"/>
      <c r="C51" s="30"/>
      <c r="D51" s="226" t="s">
        <v>1666</v>
      </c>
      <c r="E51" s="180"/>
      <c r="F51" s="528"/>
      <c r="G51" s="29"/>
      <c r="H51" s="216"/>
      <c r="I51" s="30"/>
      <c r="J51" s="29"/>
    </row>
    <row r="52" spans="1:10" s="499" customFormat="1" ht="11.1" customHeight="1">
      <c r="F52" s="528"/>
      <c r="G52" s="29"/>
      <c r="H52" s="216"/>
      <c r="I52" s="30"/>
      <c r="J52" s="29"/>
    </row>
    <row r="53" spans="1:10" s="499" customFormat="1" ht="11.1" customHeight="1">
      <c r="F53" s="528"/>
      <c r="G53" s="29"/>
      <c r="H53" s="216"/>
      <c r="I53" s="30"/>
      <c r="J53" s="29"/>
    </row>
    <row r="54" spans="1:10" s="499" customFormat="1" ht="11.1" customHeight="1">
      <c r="F54" s="528"/>
      <c r="G54" s="29"/>
      <c r="H54" s="216"/>
      <c r="I54" s="30"/>
      <c r="J54" s="29"/>
    </row>
    <row r="55" spans="1:10" s="499" customFormat="1" ht="11.1" customHeight="1">
      <c r="F55" s="528"/>
      <c r="G55" s="29"/>
      <c r="H55" s="216"/>
      <c r="I55" s="30"/>
      <c r="J55" s="29"/>
    </row>
    <row r="56" spans="1:10" s="499" customFormat="1" ht="11.1" customHeight="1">
      <c r="F56" s="528"/>
      <c r="G56" s="29"/>
      <c r="H56" s="216"/>
      <c r="I56" s="30"/>
      <c r="J56" s="29"/>
    </row>
    <row r="57" spans="1:10" s="499" customFormat="1" ht="11.1" customHeight="1">
      <c r="F57" s="528"/>
      <c r="G57" s="29"/>
      <c r="H57" s="216"/>
      <c r="I57" s="30"/>
      <c r="J57" s="29"/>
    </row>
    <row r="58" spans="1:10" s="499" customFormat="1" ht="11.1" customHeight="1">
      <c r="F58" s="528"/>
      <c r="G58" s="29"/>
      <c r="H58" s="216"/>
      <c r="I58" s="30"/>
      <c r="J58" s="29"/>
    </row>
    <row r="59" spans="1:10" s="499" customFormat="1" ht="11.1" customHeight="1">
      <c r="F59" s="528"/>
      <c r="G59" s="29"/>
      <c r="H59" s="216"/>
      <c r="I59" s="30"/>
      <c r="J59" s="29"/>
    </row>
    <row r="60" spans="1:10" s="499" customFormat="1" ht="11.1" customHeight="1">
      <c r="F60" s="528"/>
      <c r="G60" s="29"/>
      <c r="H60" s="216"/>
      <c r="I60" s="30"/>
      <c r="J60" s="29"/>
    </row>
    <row r="61" spans="1:10" s="499" customFormat="1" ht="11.1" customHeight="1">
      <c r="F61" s="528"/>
      <c r="G61" s="29"/>
      <c r="H61" s="216"/>
      <c r="I61" s="30"/>
      <c r="J61" s="29"/>
    </row>
    <row r="62" spans="1:10" s="499" customFormat="1" ht="11.1" customHeight="1">
      <c r="F62" s="528"/>
      <c r="G62" s="29"/>
      <c r="H62" s="216"/>
      <c r="I62" s="30"/>
      <c r="J62" s="29"/>
    </row>
    <row r="63" spans="1:10" s="499" customFormat="1" ht="11.1" customHeight="1">
      <c r="F63" s="528"/>
      <c r="G63" s="29"/>
      <c r="H63" s="216"/>
      <c r="I63" s="30"/>
      <c r="J63" s="29"/>
    </row>
    <row r="64" spans="1:10" s="499" customFormat="1" ht="11.1" customHeight="1">
      <c r="C64" s="267"/>
      <c r="F64" s="528"/>
      <c r="G64" s="29"/>
      <c r="H64" s="216"/>
      <c r="I64" s="30"/>
      <c r="J64" s="29"/>
    </row>
    <row r="65" spans="1:10" s="499" customFormat="1" ht="11.1" customHeight="1">
      <c r="E65" s="983"/>
      <c r="F65" s="528"/>
      <c r="G65" s="29"/>
      <c r="H65" s="216"/>
      <c r="I65" s="30"/>
      <c r="J65" s="29"/>
    </row>
    <row r="66" spans="1:10" s="499" customFormat="1" ht="11.1" customHeight="1">
      <c r="D66" s="984"/>
      <c r="E66" s="985"/>
      <c r="F66" s="528"/>
      <c r="G66" s="29"/>
      <c r="H66" s="216"/>
      <c r="I66" s="30"/>
      <c r="J66" s="29"/>
    </row>
    <row r="67" spans="1:10" s="499" customFormat="1" ht="11.1" customHeight="1">
      <c r="F67" s="528"/>
      <c r="G67" s="29"/>
      <c r="H67" s="216"/>
      <c r="I67" s="30"/>
      <c r="J67" s="29"/>
    </row>
    <row r="68" spans="1:10" s="499" customFormat="1" ht="11.1" customHeight="1">
      <c r="F68" s="528"/>
      <c r="G68" s="29"/>
      <c r="H68" s="216"/>
      <c r="I68" s="30"/>
      <c r="J68" s="29"/>
    </row>
    <row r="69" spans="1:10" s="499" customFormat="1" ht="11.1" customHeight="1">
      <c r="F69" s="528"/>
      <c r="G69" s="29"/>
      <c r="H69" s="216"/>
      <c r="I69" s="30"/>
      <c r="J69" s="29"/>
    </row>
    <row r="70" spans="1:10" s="499" customFormat="1" ht="11.1" customHeight="1">
      <c r="F70" s="528"/>
      <c r="G70" s="29"/>
      <c r="H70" s="216"/>
      <c r="I70" s="30"/>
      <c r="J70" s="29"/>
    </row>
    <row r="71" spans="1:10" s="499" customFormat="1" ht="11.1" customHeight="1">
      <c r="F71" s="528"/>
      <c r="G71" s="29"/>
      <c r="H71" s="216"/>
      <c r="I71" s="30"/>
      <c r="J71" s="29"/>
    </row>
    <row r="72" spans="1:10" s="499" customFormat="1" ht="11.1" customHeight="1">
      <c r="F72" s="528"/>
      <c r="G72" s="29"/>
      <c r="H72" s="216"/>
      <c r="I72" s="30"/>
      <c r="J72" s="29"/>
    </row>
    <row r="73" spans="1:10" s="499" customFormat="1" ht="11.1" customHeight="1">
      <c r="F73" s="528"/>
      <c r="G73" s="29"/>
      <c r="H73" s="216"/>
      <c r="I73" s="30"/>
      <c r="J73" s="29"/>
    </row>
    <row r="74" spans="1:10" s="499" customFormat="1" ht="11.1" customHeight="1">
      <c r="F74" s="528"/>
      <c r="G74" s="29"/>
      <c r="H74" s="216"/>
      <c r="I74" s="30"/>
      <c r="J74" s="29"/>
    </row>
    <row r="75" spans="1:10" s="499" customFormat="1" ht="11.1" customHeight="1">
      <c r="A75" s="74"/>
      <c r="B75" s="74"/>
      <c r="C75" s="74"/>
      <c r="D75" s="74"/>
      <c r="E75" s="74"/>
      <c r="F75" s="528"/>
      <c r="G75" s="29"/>
      <c r="H75" s="216"/>
      <c r="I75" s="30"/>
      <c r="J75" s="29"/>
    </row>
    <row r="76" spans="1:10" s="499" customFormat="1" ht="11.1" customHeight="1">
      <c r="A76" s="74"/>
      <c r="B76" s="74"/>
      <c r="C76" s="74"/>
      <c r="D76" s="74"/>
      <c r="E76" s="74"/>
      <c r="F76" s="528"/>
      <c r="G76" s="29"/>
      <c r="H76" s="216"/>
      <c r="I76" s="30"/>
      <c r="J76" s="29"/>
    </row>
    <row r="77" spans="1:10" s="499" customFormat="1" ht="11.1" customHeight="1">
      <c r="A77" s="74"/>
      <c r="B77" s="74"/>
      <c r="C77" s="74"/>
      <c r="D77" s="74"/>
      <c r="E77" s="74"/>
      <c r="F77" s="528"/>
      <c r="G77" s="29"/>
      <c r="H77" s="216"/>
      <c r="I77" s="30"/>
      <c r="J77" s="29"/>
    </row>
    <row r="78" spans="1:10" s="499" customFormat="1" ht="11.1" customHeight="1">
      <c r="A78" s="74"/>
      <c r="B78" s="74"/>
      <c r="C78" s="74"/>
      <c r="D78" s="74"/>
      <c r="E78" s="74"/>
      <c r="F78" s="528"/>
      <c r="G78" s="29"/>
      <c r="H78" s="216"/>
      <c r="I78" s="30"/>
      <c r="J78" s="29"/>
    </row>
    <row r="79" spans="1:10" s="499" customFormat="1" ht="11.1" customHeight="1">
      <c r="A79" s="74"/>
      <c r="B79" s="74"/>
      <c r="C79" s="74"/>
      <c r="D79" s="74"/>
      <c r="E79" s="74"/>
      <c r="F79" s="528"/>
      <c r="G79" s="29"/>
      <c r="H79" s="216"/>
      <c r="I79" s="30"/>
      <c r="J79" s="29"/>
    </row>
    <row r="80" spans="1:10" s="499" customFormat="1" ht="11.1" customHeight="1">
      <c r="A80" s="74"/>
      <c r="B80" s="74"/>
      <c r="C80" s="74"/>
      <c r="D80" s="74"/>
      <c r="E80" s="74"/>
      <c r="F80" s="528"/>
      <c r="G80" s="29"/>
      <c r="H80" s="216"/>
      <c r="I80" s="30"/>
      <c r="J80" s="29"/>
    </row>
    <row r="81" spans="1:10" s="499" customFormat="1" ht="11.1" customHeight="1">
      <c r="A81" s="74"/>
      <c r="B81" s="74"/>
      <c r="C81" s="74"/>
      <c r="D81" s="74"/>
      <c r="E81" s="74"/>
      <c r="F81" s="528"/>
      <c r="G81" s="29"/>
      <c r="H81" s="216"/>
      <c r="I81" s="30"/>
      <c r="J81" s="29"/>
    </row>
    <row r="82" spans="1:10" s="499" customFormat="1" ht="11.1" customHeight="1">
      <c r="A82" s="74"/>
      <c r="B82" s="74"/>
      <c r="C82" s="74"/>
      <c r="D82" s="74"/>
      <c r="E82" s="74"/>
      <c r="F82" s="528"/>
      <c r="G82" s="29"/>
      <c r="H82" s="216"/>
      <c r="I82" s="30"/>
      <c r="J82" s="29"/>
    </row>
    <row r="83" spans="1:10" s="499" customFormat="1" ht="11.1" customHeight="1">
      <c r="A83" s="74"/>
      <c r="B83" s="74"/>
      <c r="C83" s="74"/>
      <c r="D83" s="74"/>
      <c r="E83" s="74"/>
      <c r="F83" s="528"/>
      <c r="G83" s="29"/>
      <c r="H83" s="216"/>
      <c r="I83" s="30"/>
      <c r="J83" s="29"/>
    </row>
    <row r="84" spans="1:10" s="499" customFormat="1" ht="11.1" customHeight="1">
      <c r="A84" s="74"/>
      <c r="B84" s="74"/>
      <c r="C84" s="74"/>
      <c r="D84" s="74"/>
      <c r="E84" s="74"/>
      <c r="F84" s="528"/>
      <c r="G84" s="29"/>
      <c r="H84" s="216"/>
      <c r="I84" s="30"/>
      <c r="J84" s="29"/>
    </row>
    <row r="85" spans="1:10" s="499" customFormat="1" ht="11.1" customHeight="1">
      <c r="A85" s="74"/>
      <c r="B85" s="74"/>
      <c r="C85" s="74"/>
      <c r="D85" s="74"/>
      <c r="E85" s="74"/>
      <c r="F85" s="528"/>
      <c r="G85" s="29"/>
      <c r="H85" s="216"/>
      <c r="I85" s="30"/>
      <c r="J85" s="29"/>
    </row>
    <row r="86" spans="1:10" s="499" customFormat="1" ht="11.25" customHeight="1">
      <c r="A86" s="74"/>
      <c r="B86" s="74"/>
      <c r="C86" s="74"/>
      <c r="D86" s="74"/>
      <c r="E86" s="74"/>
      <c r="F86" s="528"/>
      <c r="G86" s="29"/>
      <c r="H86" s="216"/>
      <c r="I86" s="30"/>
      <c r="J86" s="29"/>
    </row>
    <row r="87" spans="1:10" s="74" customFormat="1" ht="9.9499999999999993" customHeight="1">
      <c r="F87" s="528"/>
      <c r="G87" s="29"/>
      <c r="H87" s="216"/>
      <c r="I87" s="30"/>
      <c r="J87" s="29"/>
    </row>
    <row r="88" spans="1:10" s="74" customFormat="1" ht="10.5" customHeight="1">
      <c r="F88" s="528"/>
      <c r="G88" s="29"/>
      <c r="H88" s="216"/>
      <c r="I88" s="30"/>
      <c r="J88" s="29"/>
    </row>
    <row r="89" spans="1:10" s="74" customFormat="1" ht="15.75" customHeight="1">
      <c r="F89" s="528"/>
      <c r="G89" s="351"/>
      <c r="H89" s="351"/>
      <c r="I89" s="30"/>
      <c r="J89" s="29"/>
    </row>
    <row r="90" spans="1:10" s="74" customFormat="1" ht="13.5" customHeight="1">
      <c r="F90" s="528"/>
      <c r="G90" s="351"/>
      <c r="H90" s="351"/>
      <c r="I90" s="30"/>
      <c r="J90" s="29"/>
    </row>
    <row r="91" spans="1:10" s="74" customFormat="1" ht="9" customHeight="1">
      <c r="F91" s="528"/>
      <c r="G91" s="351"/>
      <c r="H91" s="351"/>
      <c r="I91" s="30"/>
      <c r="J91" s="29"/>
    </row>
    <row r="92" spans="1:10" s="74" customFormat="1" ht="8.85" customHeight="1">
      <c r="A92" s="499"/>
      <c r="B92" s="499"/>
      <c r="C92" s="499"/>
      <c r="D92" s="499"/>
      <c r="E92" s="499"/>
      <c r="F92" s="528"/>
      <c r="G92" s="351"/>
      <c r="H92" s="351"/>
      <c r="I92" s="30"/>
      <c r="J92" s="29"/>
    </row>
    <row r="93" spans="1:10" s="74" customFormat="1" ht="8.85" customHeight="1">
      <c r="A93" s="2"/>
      <c r="B93" s="2"/>
      <c r="C93" s="2"/>
      <c r="D93" s="2"/>
      <c r="E93" s="2"/>
      <c r="F93" s="528"/>
      <c r="G93" s="351"/>
      <c r="H93" s="351"/>
      <c r="I93" s="30"/>
      <c r="J93" s="29"/>
    </row>
    <row r="94" spans="1:10" s="74" customFormat="1" ht="8.85" customHeight="1">
      <c r="A94" s="2"/>
      <c r="B94" s="2"/>
      <c r="C94" s="2"/>
      <c r="D94" s="2"/>
      <c r="E94" s="2"/>
      <c r="F94" s="528"/>
      <c r="G94" s="351"/>
      <c r="H94" s="351"/>
      <c r="I94" s="30"/>
      <c r="J94" s="29"/>
    </row>
    <row r="95" spans="1:10" s="74" customFormat="1" ht="8.85" customHeight="1">
      <c r="A95" s="99"/>
      <c r="B95" s="100"/>
      <c r="C95" s="100"/>
      <c r="D95" s="104"/>
      <c r="E95" s="994"/>
      <c r="F95" s="528"/>
      <c r="G95" s="351"/>
      <c r="H95" s="351"/>
      <c r="I95" s="30"/>
      <c r="J95" s="29"/>
    </row>
    <row r="96" spans="1:10" s="74" customFormat="1" ht="8.85" customHeight="1">
      <c r="A96" s="102"/>
      <c r="B96" s="103"/>
      <c r="C96" s="103"/>
      <c r="D96" s="104"/>
      <c r="E96" s="86"/>
      <c r="F96" s="528"/>
      <c r="G96" s="351"/>
      <c r="H96" s="351"/>
      <c r="I96" s="30"/>
      <c r="J96" s="29"/>
    </row>
    <row r="97" spans="1:10" s="74" customFormat="1" ht="8.85" customHeight="1">
      <c r="A97" s="102"/>
      <c r="B97" s="103"/>
      <c r="C97" s="103"/>
      <c r="D97" s="104"/>
      <c r="E97" s="86"/>
      <c r="F97" s="528"/>
      <c r="G97" s="351"/>
      <c r="H97" s="351"/>
      <c r="I97" s="30"/>
      <c r="J97" s="29"/>
    </row>
    <row r="98" spans="1:10" s="74" customFormat="1" ht="9.9499999999999993" customHeight="1">
      <c r="A98" s="102"/>
      <c r="B98" s="103"/>
      <c r="C98" s="103"/>
      <c r="D98" s="104"/>
      <c r="E98" s="86"/>
      <c r="F98" s="453"/>
      <c r="G98" s="499"/>
      <c r="H98" s="499"/>
      <c r="I98" s="499"/>
      <c r="J98" s="499"/>
    </row>
    <row r="99" spans="1:10" s="74" customFormat="1" ht="9.9499999999999993" customHeight="1">
      <c r="A99" s="102"/>
      <c r="B99" s="103"/>
      <c r="C99" s="103"/>
      <c r="D99" s="104"/>
      <c r="E99" s="86"/>
      <c r="F99" s="453"/>
      <c r="G99" s="499"/>
      <c r="H99" s="499"/>
      <c r="I99" s="499"/>
      <c r="J99" s="499"/>
    </row>
    <row r="100" spans="1:10" s="74" customFormat="1" ht="9.9499999999999993" customHeight="1">
      <c r="A100" s="102"/>
      <c r="B100" s="103"/>
      <c r="C100" s="103"/>
      <c r="D100" s="104"/>
      <c r="E100" s="86"/>
      <c r="F100" s="453"/>
      <c r="G100" s="499"/>
      <c r="H100" s="499"/>
      <c r="I100" s="499"/>
      <c r="J100" s="499"/>
    </row>
    <row r="101" spans="1:10" s="74" customFormat="1" ht="11.1" customHeight="1">
      <c r="A101" s="102"/>
      <c r="B101" s="103"/>
      <c r="C101" s="103"/>
      <c r="D101" s="104"/>
      <c r="E101" s="86"/>
      <c r="F101" s="453"/>
      <c r="G101" s="499"/>
      <c r="H101" s="499"/>
      <c r="I101" s="499"/>
      <c r="J101" s="499"/>
    </row>
    <row r="102" spans="1:10" s="74" customFormat="1" ht="11.1" customHeight="1">
      <c r="A102" s="102"/>
      <c r="B102" s="103"/>
      <c r="C102" s="103"/>
      <c r="D102" s="104"/>
      <c r="E102" s="86"/>
      <c r="F102" s="453"/>
      <c r="G102" s="499"/>
      <c r="H102" s="499"/>
      <c r="I102" s="499"/>
      <c r="J102" s="499"/>
    </row>
    <row r="103" spans="1:10" s="74" customFormat="1" ht="11.1" customHeight="1">
      <c r="A103" s="102"/>
      <c r="B103" s="103"/>
      <c r="C103" s="103"/>
      <c r="D103" s="104"/>
      <c r="E103" s="86"/>
      <c r="F103" s="453"/>
      <c r="G103" s="499"/>
      <c r="H103" s="499"/>
      <c r="I103" s="499"/>
      <c r="J103" s="499"/>
    </row>
    <row r="104" spans="1:10" s="74" customFormat="1" ht="11.1" customHeight="1">
      <c r="A104" s="102"/>
      <c r="B104" s="103"/>
      <c r="C104" s="103"/>
      <c r="D104" s="104"/>
      <c r="E104" s="86"/>
      <c r="F104" s="453"/>
      <c r="G104" s="499"/>
      <c r="H104" s="499"/>
      <c r="I104" s="499"/>
      <c r="J104" s="499"/>
    </row>
    <row r="105" spans="1:10" s="499" customFormat="1" ht="11.1" customHeight="1">
      <c r="A105" s="102"/>
      <c r="B105" s="103"/>
      <c r="C105" s="103"/>
      <c r="D105" s="104"/>
      <c r="E105" s="86"/>
      <c r="F105" s="453"/>
    </row>
    <row r="106" spans="1:10" ht="11.1" customHeight="1">
      <c r="A106" s="102"/>
      <c r="B106" s="103"/>
      <c r="C106" s="103"/>
      <c r="D106" s="104"/>
      <c r="E106" s="86"/>
      <c r="F106" s="453"/>
      <c r="G106" s="499"/>
      <c r="H106" s="499"/>
      <c r="I106" s="499"/>
      <c r="J106" s="499"/>
    </row>
    <row r="107" spans="1:10" ht="11.1" customHeight="1">
      <c r="F107" s="453"/>
      <c r="G107" s="499"/>
      <c r="H107" s="499"/>
      <c r="I107" s="499"/>
      <c r="J107" s="499"/>
    </row>
    <row r="108" spans="1:10">
      <c r="F108" s="453"/>
      <c r="G108" s="499"/>
      <c r="H108" s="499"/>
      <c r="I108" s="499"/>
      <c r="J108" s="499"/>
    </row>
    <row r="109" spans="1:10">
      <c r="F109" s="453"/>
      <c r="G109" s="499"/>
      <c r="H109" s="499"/>
      <c r="I109" s="499"/>
      <c r="J109" s="499"/>
    </row>
    <row r="110" spans="1:10">
      <c r="F110" s="453"/>
      <c r="G110" s="499"/>
      <c r="H110" s="499"/>
      <c r="I110" s="499"/>
      <c r="J110" s="499"/>
    </row>
    <row r="111" spans="1:10">
      <c r="A111" s="102"/>
      <c r="B111" s="100"/>
      <c r="C111" s="103"/>
      <c r="D111" s="104"/>
      <c r="E111" s="86"/>
      <c r="G111" s="499"/>
      <c r="H111" s="499"/>
      <c r="I111" s="499"/>
      <c r="J111" s="499"/>
    </row>
    <row r="112" spans="1:10">
      <c r="A112" s="102"/>
      <c r="B112" s="100"/>
      <c r="C112" s="103"/>
      <c r="D112" s="104"/>
      <c r="E112" s="86"/>
      <c r="G112" s="499"/>
      <c r="H112" s="499"/>
      <c r="I112" s="499"/>
      <c r="J112" s="499"/>
    </row>
    <row r="113" spans="1:10">
      <c r="A113" s="102"/>
      <c r="B113" s="103"/>
      <c r="C113" s="100"/>
      <c r="D113" s="104"/>
      <c r="E113" s="86"/>
      <c r="G113" s="499"/>
      <c r="H113" s="499"/>
      <c r="I113" s="499"/>
      <c r="J113" s="499"/>
    </row>
    <row r="114" spans="1:10">
      <c r="A114" s="102"/>
      <c r="B114" s="103"/>
      <c r="C114" s="103"/>
      <c r="D114" s="104"/>
      <c r="E114" s="86"/>
      <c r="G114" s="499"/>
      <c r="H114" s="499"/>
      <c r="I114" s="499"/>
      <c r="J114" s="499"/>
    </row>
    <row r="115" spans="1:10">
      <c r="A115" s="102"/>
      <c r="B115" s="100"/>
      <c r="C115" s="103"/>
      <c r="D115" s="104"/>
      <c r="E115" s="86"/>
      <c r="G115" s="499"/>
      <c r="H115" s="499"/>
      <c r="I115" s="499"/>
      <c r="J115" s="499"/>
    </row>
    <row r="116" spans="1:10">
      <c r="A116" s="102"/>
      <c r="B116" s="86"/>
      <c r="C116" s="103"/>
      <c r="D116" s="104"/>
      <c r="E116" s="86"/>
      <c r="G116" s="499"/>
      <c r="H116" s="499"/>
      <c r="I116" s="499"/>
      <c r="J116" s="499"/>
    </row>
    <row r="117" spans="1:10">
      <c r="A117" s="102"/>
      <c r="B117" s="994"/>
      <c r="C117" s="100"/>
      <c r="D117" s="104"/>
      <c r="E117" s="86"/>
      <c r="G117" s="499"/>
      <c r="H117" s="499"/>
      <c r="I117" s="499"/>
      <c r="J117" s="499"/>
    </row>
    <row r="118" spans="1:10">
      <c r="G118" s="499"/>
      <c r="H118" s="499"/>
      <c r="I118" s="499"/>
      <c r="J118" s="499"/>
    </row>
    <row r="119" spans="1:10">
      <c r="A119" s="102"/>
      <c r="B119" s="104"/>
      <c r="C119" s="104"/>
      <c r="D119" s="104"/>
      <c r="E119" s="86"/>
      <c r="G119" s="499"/>
      <c r="H119" s="499"/>
      <c r="I119" s="499"/>
      <c r="J119" s="499"/>
    </row>
    <row r="120" spans="1:10">
      <c r="A120" s="102"/>
      <c r="B120" s="104"/>
      <c r="C120" s="104"/>
      <c r="D120" s="104"/>
      <c r="E120" s="86"/>
      <c r="G120" s="499"/>
      <c r="H120" s="499"/>
      <c r="I120" s="499"/>
      <c r="J120" s="499"/>
    </row>
    <row r="121" spans="1:10">
      <c r="G121" s="499"/>
      <c r="H121" s="499"/>
      <c r="I121" s="499"/>
      <c r="J121" s="499"/>
    </row>
    <row r="122" spans="1:10">
      <c r="A122" s="102"/>
      <c r="B122" s="2"/>
      <c r="C122" s="2"/>
      <c r="D122" s="104"/>
      <c r="E122" s="86"/>
      <c r="G122" s="499"/>
      <c r="H122" s="499"/>
      <c r="I122" s="499"/>
      <c r="J122" s="499"/>
    </row>
    <row r="123" spans="1:10">
      <c r="A123" s="102"/>
      <c r="B123" s="86"/>
      <c r="C123" s="86"/>
      <c r="D123" s="104"/>
      <c r="E123" s="86"/>
      <c r="G123" s="499"/>
      <c r="H123" s="499"/>
      <c r="I123" s="499"/>
      <c r="J123" s="499"/>
    </row>
    <row r="124" spans="1:10">
      <c r="G124" s="499"/>
      <c r="H124" s="499"/>
      <c r="I124" s="499"/>
      <c r="J124" s="499"/>
    </row>
    <row r="125" spans="1:10">
      <c r="A125" s="102"/>
      <c r="B125" s="86"/>
      <c r="C125" s="86"/>
      <c r="D125" s="104"/>
      <c r="E125" s="86"/>
      <c r="G125" s="499"/>
      <c r="H125" s="499"/>
      <c r="I125" s="499"/>
      <c r="J125" s="499"/>
    </row>
    <row r="126" spans="1:10">
      <c r="A126" s="102"/>
      <c r="B126" s="86"/>
      <c r="C126" s="86"/>
      <c r="D126" s="104"/>
      <c r="E126" s="86"/>
      <c r="G126" s="499"/>
      <c r="H126" s="499"/>
      <c r="I126" s="499"/>
      <c r="J126" s="499"/>
    </row>
    <row r="128" spans="1:10">
      <c r="A128" s="102"/>
      <c r="B128" s="86"/>
      <c r="C128" s="103"/>
      <c r="D128" s="104"/>
      <c r="E128" s="86"/>
    </row>
    <row r="129" spans="1:5">
      <c r="A129" s="102"/>
      <c r="B129" s="100"/>
      <c r="C129" s="994"/>
      <c r="D129" s="104"/>
      <c r="E129" s="86"/>
    </row>
    <row r="130" spans="1:5">
      <c r="A130" s="8"/>
      <c r="B130" s="28"/>
      <c r="C130" s="28"/>
      <c r="D130" s="28"/>
      <c r="E130" s="28"/>
    </row>
    <row r="131" spans="1:5">
      <c r="A131" s="8"/>
      <c r="B131" s="28"/>
      <c r="C131" s="28"/>
      <c r="D131" s="28"/>
      <c r="E131" s="28"/>
    </row>
    <row r="132" spans="1:5">
      <c r="C132" s="28"/>
      <c r="D132" s="28"/>
      <c r="E132" s="28"/>
    </row>
    <row r="133" spans="1:5">
      <c r="A133" s="8"/>
      <c r="B133" s="28"/>
      <c r="C133" s="28"/>
      <c r="D133" s="28"/>
      <c r="E133" s="28"/>
    </row>
    <row r="134" spans="1:5">
      <c r="A134" s="8"/>
      <c r="B134" s="28"/>
      <c r="C134" s="28"/>
      <c r="D134" s="28"/>
      <c r="E134" s="28"/>
    </row>
    <row r="135" spans="1:5">
      <c r="A135" s="8"/>
      <c r="B135" s="28"/>
      <c r="C135" s="28"/>
      <c r="D135" s="28"/>
      <c r="E135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7"/>
  <sheetViews>
    <sheetView zoomScale="150" zoomScaleNormal="150" workbookViewId="0">
      <pane xSplit="1" ySplit="4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50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16" t="s">
        <v>649</v>
      </c>
      <c r="B1" s="2316"/>
      <c r="C1" s="2316"/>
      <c r="D1" s="2316"/>
      <c r="E1" s="2316"/>
      <c r="F1" s="2316"/>
      <c r="G1" s="2316"/>
      <c r="H1" s="2316"/>
      <c r="I1" s="2316"/>
      <c r="J1" s="2315" t="s">
        <v>1410</v>
      </c>
      <c r="K1" s="2315"/>
      <c r="L1" s="2315"/>
      <c r="M1" s="2315"/>
      <c r="N1" s="2315"/>
      <c r="O1" s="2315"/>
      <c r="P1" s="2315"/>
      <c r="Q1" s="2317" t="s">
        <v>1141</v>
      </c>
      <c r="R1" s="2317"/>
    </row>
    <row r="2" spans="1:18" s="21" customFormat="1" ht="10.5" customHeight="1">
      <c r="B2" s="1833"/>
      <c r="C2" s="1833"/>
      <c r="D2" s="1833"/>
      <c r="E2" s="1833"/>
      <c r="F2" s="1833"/>
      <c r="G2" s="1833"/>
      <c r="J2" s="1833"/>
      <c r="K2" s="1833"/>
      <c r="L2" s="1833"/>
      <c r="M2" s="1833"/>
      <c r="N2" s="1833"/>
      <c r="O2" s="1833"/>
      <c r="P2" s="1833"/>
      <c r="Q2" s="2321" t="s">
        <v>24</v>
      </c>
      <c r="R2" s="2321"/>
    </row>
    <row r="3" spans="1:18" s="108" customFormat="1" ht="12.75" customHeight="1">
      <c r="A3" s="2322" t="s">
        <v>492</v>
      </c>
      <c r="B3" s="2318" t="s">
        <v>1275</v>
      </c>
      <c r="C3" s="2319"/>
      <c r="D3" s="2319"/>
      <c r="E3" s="2319"/>
      <c r="F3" s="2319"/>
      <c r="G3" s="2319"/>
      <c r="H3" s="2319"/>
      <c r="I3" s="2319"/>
      <c r="J3" s="2319"/>
      <c r="K3" s="2319"/>
      <c r="L3" s="2319"/>
      <c r="M3" s="2319"/>
      <c r="N3" s="2319"/>
      <c r="O3" s="2319"/>
      <c r="P3" s="2319"/>
      <c r="Q3" s="2320"/>
      <c r="R3" s="2322" t="s">
        <v>973</v>
      </c>
    </row>
    <row r="4" spans="1:18" s="75" customFormat="1" ht="39.75" customHeight="1">
      <c r="A4" s="2212"/>
      <c r="B4" s="1811" t="s">
        <v>493</v>
      </c>
      <c r="C4" s="1811" t="s">
        <v>229</v>
      </c>
      <c r="D4" s="1811" t="s">
        <v>230</v>
      </c>
      <c r="E4" s="1811" t="s">
        <v>86</v>
      </c>
      <c r="F4" s="1811" t="s">
        <v>1315</v>
      </c>
      <c r="G4" s="1811" t="s">
        <v>1314</v>
      </c>
      <c r="H4" s="1811" t="s">
        <v>87</v>
      </c>
      <c r="I4" s="1811" t="s">
        <v>521</v>
      </c>
      <c r="J4" s="1811" t="s">
        <v>1313</v>
      </c>
      <c r="K4" s="1811" t="s">
        <v>1316</v>
      </c>
      <c r="L4" s="1811" t="s">
        <v>1317</v>
      </c>
      <c r="M4" s="1811" t="s">
        <v>89</v>
      </c>
      <c r="N4" s="1811" t="s">
        <v>522</v>
      </c>
      <c r="O4" s="1811" t="s">
        <v>236</v>
      </c>
      <c r="P4" s="1811" t="s">
        <v>280</v>
      </c>
      <c r="Q4" s="1811" t="s">
        <v>90</v>
      </c>
      <c r="R4" s="2212"/>
    </row>
    <row r="5" spans="1:18" s="98" customFormat="1" ht="12" customHeight="1">
      <c r="A5" s="455" t="s">
        <v>81</v>
      </c>
      <c r="B5" s="310">
        <v>64408.3</v>
      </c>
      <c r="C5" s="456">
        <v>28352.9</v>
      </c>
      <c r="D5" s="310">
        <v>2723.1</v>
      </c>
      <c r="E5" s="310">
        <v>9507.7999999999993</v>
      </c>
      <c r="F5" s="310">
        <v>4335.1000000000004</v>
      </c>
      <c r="G5" s="310">
        <v>30142.7</v>
      </c>
      <c r="H5" s="310">
        <v>61.1</v>
      </c>
      <c r="I5" s="310">
        <v>6098</v>
      </c>
      <c r="J5" s="310">
        <v>16282.4</v>
      </c>
      <c r="K5" s="310">
        <v>85.9</v>
      </c>
      <c r="L5" s="310">
        <v>2684.7</v>
      </c>
      <c r="M5" s="310">
        <v>5476.9</v>
      </c>
      <c r="N5" s="310">
        <v>10591.1</v>
      </c>
      <c r="O5" s="310">
        <v>31826.6</v>
      </c>
      <c r="P5" s="310">
        <v>15064.2</v>
      </c>
      <c r="Q5" s="310">
        <v>227640.80000000005</v>
      </c>
      <c r="R5" s="457" t="s">
        <v>81</v>
      </c>
    </row>
    <row r="6" spans="1:18" s="261" customFormat="1" ht="12" customHeight="1">
      <c r="A6" s="599" t="s">
        <v>192</v>
      </c>
      <c r="B6" s="268">
        <v>68061.899999999994</v>
      </c>
      <c r="C6" s="600">
        <v>28715.5</v>
      </c>
      <c r="D6" s="268">
        <v>3595.5</v>
      </c>
      <c r="E6" s="268">
        <v>12054.8</v>
      </c>
      <c r="F6" s="268">
        <v>5342</v>
      </c>
      <c r="G6" s="268">
        <v>28931.4</v>
      </c>
      <c r="H6" s="268">
        <v>79</v>
      </c>
      <c r="I6" s="268">
        <v>8229.2000000000007</v>
      </c>
      <c r="J6" s="268">
        <v>18080.8</v>
      </c>
      <c r="K6" s="268">
        <v>90.6</v>
      </c>
      <c r="L6" s="268">
        <v>1871.8</v>
      </c>
      <c r="M6" s="268">
        <v>7703</v>
      </c>
      <c r="N6" s="268">
        <v>14010.4</v>
      </c>
      <c r="O6" s="268">
        <v>22131.4</v>
      </c>
      <c r="P6" s="268">
        <v>13804.3</v>
      </c>
      <c r="Q6" s="268">
        <v>232701.59999999998</v>
      </c>
      <c r="R6" s="601" t="s">
        <v>192</v>
      </c>
    </row>
    <row r="7" spans="1:18" s="98" customFormat="1" ht="12" customHeight="1">
      <c r="A7" s="455" t="s">
        <v>757</v>
      </c>
      <c r="B7" s="310">
        <v>51238.6</v>
      </c>
      <c r="C7" s="456">
        <v>18987.8</v>
      </c>
      <c r="D7" s="310">
        <v>3588.1</v>
      </c>
      <c r="E7" s="310">
        <v>8631.4</v>
      </c>
      <c r="F7" s="310">
        <v>5117.6000000000004</v>
      </c>
      <c r="G7" s="310">
        <v>24813</v>
      </c>
      <c r="H7" s="310">
        <v>49.8</v>
      </c>
      <c r="I7" s="310">
        <v>4585</v>
      </c>
      <c r="J7" s="310">
        <v>16465.8</v>
      </c>
      <c r="K7" s="310">
        <v>48.8</v>
      </c>
      <c r="L7" s="310">
        <v>1187.3</v>
      </c>
      <c r="M7" s="310">
        <v>8386.2999999999993</v>
      </c>
      <c r="N7" s="310">
        <v>10716.9</v>
      </c>
      <c r="O7" s="310">
        <v>28924.3</v>
      </c>
      <c r="P7" s="310">
        <v>10503.380000000001</v>
      </c>
      <c r="Q7" s="310">
        <v>193244.07999999996</v>
      </c>
      <c r="R7" s="457" t="s">
        <v>757</v>
      </c>
    </row>
    <row r="8" spans="1:18" s="261" customFormat="1" ht="12" customHeight="1">
      <c r="A8" s="599" t="s">
        <v>866</v>
      </c>
      <c r="B8" s="268">
        <v>41710.1</v>
      </c>
      <c r="C8" s="600">
        <v>16994.599999999999</v>
      </c>
      <c r="D8" s="268">
        <v>4130.8</v>
      </c>
      <c r="E8" s="268">
        <v>9567</v>
      </c>
      <c r="F8" s="268">
        <v>8581.6</v>
      </c>
      <c r="G8" s="268">
        <v>29036.7</v>
      </c>
      <c r="H8" s="268">
        <v>49.5</v>
      </c>
      <c r="I8" s="268">
        <v>6418.5</v>
      </c>
      <c r="J8" s="268">
        <v>19754.099999999999</v>
      </c>
      <c r="K8" s="268">
        <v>32.9</v>
      </c>
      <c r="L8" s="268">
        <v>954.1</v>
      </c>
      <c r="M8" s="268">
        <v>9156.1</v>
      </c>
      <c r="N8" s="268">
        <v>10675.2</v>
      </c>
      <c r="O8" s="268">
        <v>27168.2</v>
      </c>
      <c r="P8" s="268">
        <v>13513.613000000001</v>
      </c>
      <c r="Q8" s="268">
        <v>197743.01300000004</v>
      </c>
      <c r="R8" s="601" t="s">
        <v>866</v>
      </c>
    </row>
    <row r="9" spans="1:18" s="168" customFormat="1" ht="12" customHeight="1">
      <c r="A9" s="681" t="s">
        <v>1051</v>
      </c>
      <c r="B9" s="315">
        <v>39281.1</v>
      </c>
      <c r="C9" s="315">
        <v>15318.1</v>
      </c>
      <c r="D9" s="315">
        <v>3431.1</v>
      </c>
      <c r="E9" s="315">
        <v>9860.7000000000007</v>
      </c>
      <c r="F9" s="315">
        <v>18418.5</v>
      </c>
      <c r="G9" s="315">
        <v>29365.5</v>
      </c>
      <c r="H9" s="315">
        <v>66.900000000000006</v>
      </c>
      <c r="I9" s="315">
        <v>8245.7999999999993</v>
      </c>
      <c r="J9" s="315">
        <v>30676.799999999999</v>
      </c>
      <c r="K9" s="315">
        <v>50.9</v>
      </c>
      <c r="L9" s="315">
        <v>1002.3</v>
      </c>
      <c r="M9" s="315">
        <v>15672.4</v>
      </c>
      <c r="N9" s="315">
        <v>9972.4</v>
      </c>
      <c r="O9" s="315">
        <v>43364.9</v>
      </c>
      <c r="P9" s="315">
        <v>13898.900999999998</v>
      </c>
      <c r="Q9" s="315">
        <v>238626.30099999998</v>
      </c>
      <c r="R9" s="682" t="s">
        <v>1051</v>
      </c>
    </row>
    <row r="10" spans="1:18" s="168" customFormat="1" ht="12" customHeight="1">
      <c r="A10" s="565" t="s">
        <v>1105</v>
      </c>
      <c r="B10" s="268">
        <v>36607.300000000003</v>
      </c>
      <c r="C10" s="268">
        <v>15119.2</v>
      </c>
      <c r="D10" s="268">
        <v>2884.8</v>
      </c>
      <c r="E10" s="268">
        <v>13566.4</v>
      </c>
      <c r="F10" s="268">
        <v>23673.8</v>
      </c>
      <c r="G10" s="268">
        <v>38616.1</v>
      </c>
      <c r="H10" s="268">
        <v>71.099999999999994</v>
      </c>
      <c r="I10" s="268">
        <v>9181.1</v>
      </c>
      <c r="J10" s="268">
        <v>38646.1</v>
      </c>
      <c r="K10" s="268">
        <v>256.60000000000002</v>
      </c>
      <c r="L10" s="268">
        <v>2095.3000000000002</v>
      </c>
      <c r="M10" s="268">
        <v>19413.8</v>
      </c>
      <c r="N10" s="268">
        <v>7528.3</v>
      </c>
      <c r="O10" s="268">
        <v>46505.8</v>
      </c>
      <c r="P10" s="268">
        <v>16021.86</v>
      </c>
      <c r="Q10" s="268">
        <v>270187.56</v>
      </c>
      <c r="R10" s="562" t="s">
        <v>1105</v>
      </c>
    </row>
    <row r="11" spans="1:18" s="477" customFormat="1" ht="12" customHeight="1">
      <c r="A11" s="574" t="s">
        <v>1231</v>
      </c>
      <c r="B11" s="310">
        <v>39555.603000000003</v>
      </c>
      <c r="C11" s="310">
        <v>14567.243</v>
      </c>
      <c r="D11" s="310">
        <v>3028.4430000000002</v>
      </c>
      <c r="E11" s="310">
        <v>15529.823</v>
      </c>
      <c r="F11" s="310">
        <v>24410.638999999999</v>
      </c>
      <c r="G11" s="310">
        <v>35133.678</v>
      </c>
      <c r="H11" s="310">
        <v>79.346999999999994</v>
      </c>
      <c r="I11" s="310">
        <v>8184.8909999999996</v>
      </c>
      <c r="J11" s="310">
        <v>43424.767999999996</v>
      </c>
      <c r="K11" s="310">
        <v>150.286</v>
      </c>
      <c r="L11" s="310">
        <v>1834.0039999999999</v>
      </c>
      <c r="M11" s="310">
        <v>14872.710999999999</v>
      </c>
      <c r="N11" s="310">
        <v>7141.9579999999996</v>
      </c>
      <c r="O11" s="310">
        <v>36209.4</v>
      </c>
      <c r="P11" s="310">
        <v>17324.168000000005</v>
      </c>
      <c r="Q11" s="310">
        <v>261446.962</v>
      </c>
      <c r="R11" s="575" t="s">
        <v>1231</v>
      </c>
    </row>
    <row r="12" spans="1:18" s="168" customFormat="1" ht="12" customHeight="1">
      <c r="A12" s="565" t="s">
        <v>1263</v>
      </c>
      <c r="B12" s="268">
        <v>56058.838000000003</v>
      </c>
      <c r="C12" s="268">
        <v>23379.762999999999</v>
      </c>
      <c r="D12" s="268">
        <v>4250.0659999999998</v>
      </c>
      <c r="E12" s="268">
        <v>19062.416000000001</v>
      </c>
      <c r="F12" s="268">
        <v>24719.441999999999</v>
      </c>
      <c r="G12" s="268">
        <v>40486.985999999997</v>
      </c>
      <c r="H12" s="268">
        <v>154.69</v>
      </c>
      <c r="I12" s="268">
        <v>12634.067999999999</v>
      </c>
      <c r="J12" s="268">
        <v>50185.283000000003</v>
      </c>
      <c r="K12" s="268">
        <v>192.57</v>
      </c>
      <c r="L12" s="268">
        <v>2533.12</v>
      </c>
      <c r="M12" s="268">
        <v>13144.56</v>
      </c>
      <c r="N12" s="268">
        <v>8648.9599999999991</v>
      </c>
      <c r="O12" s="268">
        <v>48484.847999999998</v>
      </c>
      <c r="P12" s="268">
        <v>20005.729999999996</v>
      </c>
      <c r="Q12" s="268">
        <v>323941.33999999997</v>
      </c>
      <c r="R12" s="562" t="s">
        <v>1263</v>
      </c>
    </row>
    <row r="13" spans="1:18" s="168" customFormat="1" ht="12" customHeight="1">
      <c r="A13" s="574" t="s">
        <v>1392</v>
      </c>
      <c r="B13" s="310">
        <v>56693.462</v>
      </c>
      <c r="C13" s="310">
        <v>21015.174999999999</v>
      </c>
      <c r="D13" s="310">
        <v>4080.9349999999999</v>
      </c>
      <c r="E13" s="310">
        <v>19059.028999999999</v>
      </c>
      <c r="F13" s="310">
        <v>27614.215</v>
      </c>
      <c r="G13" s="310">
        <v>39752.845000000001</v>
      </c>
      <c r="H13" s="310">
        <v>194.55099999999999</v>
      </c>
      <c r="I13" s="310">
        <v>11658.181</v>
      </c>
      <c r="J13" s="310">
        <v>52211.76</v>
      </c>
      <c r="K13" s="310">
        <v>215.678</v>
      </c>
      <c r="L13" s="310">
        <v>1912.181</v>
      </c>
      <c r="M13" s="310">
        <v>11754.666999999999</v>
      </c>
      <c r="N13" s="310">
        <v>8559.2569999999996</v>
      </c>
      <c r="O13" s="310">
        <v>54210.046000000002</v>
      </c>
      <c r="P13" s="310">
        <v>17379.812999999998</v>
      </c>
      <c r="Q13" s="310">
        <v>326311.7950000001</v>
      </c>
      <c r="R13" s="575" t="s">
        <v>1392</v>
      </c>
    </row>
    <row r="14" spans="1:18" s="168" customFormat="1" ht="12" customHeight="1">
      <c r="A14" s="565" t="s">
        <v>1511</v>
      </c>
      <c r="B14" s="268">
        <v>59295.131999999998</v>
      </c>
      <c r="C14" s="268">
        <v>18180.312000000002</v>
      </c>
      <c r="D14" s="268">
        <v>3559.5810000000001</v>
      </c>
      <c r="E14" s="268">
        <v>20264.021000000001</v>
      </c>
      <c r="F14" s="268">
        <v>31438.42</v>
      </c>
      <c r="G14" s="268">
        <v>48004.101000000002</v>
      </c>
      <c r="H14" s="268">
        <v>399.38499999999999</v>
      </c>
      <c r="I14" s="268">
        <v>14014.406999999999</v>
      </c>
      <c r="J14" s="268">
        <v>52831.345999999998</v>
      </c>
      <c r="K14" s="268">
        <v>1446.3230000000001</v>
      </c>
      <c r="L14" s="268">
        <v>1783.4949999999999</v>
      </c>
      <c r="M14" s="268">
        <v>9048.1380000000008</v>
      </c>
      <c r="N14" s="268">
        <v>10918.987999999999</v>
      </c>
      <c r="O14" s="268">
        <v>51422.195</v>
      </c>
      <c r="P14" s="268">
        <v>21009.715</v>
      </c>
      <c r="Q14" s="268">
        <v>343615.55900000007</v>
      </c>
      <c r="R14" s="562" t="s">
        <v>1511</v>
      </c>
    </row>
    <row r="15" spans="1:18" s="168" customFormat="1" ht="12" customHeight="1">
      <c r="A15" s="603" t="s">
        <v>1602</v>
      </c>
      <c r="B15" s="310">
        <v>44910.99</v>
      </c>
      <c r="C15" s="310">
        <v>12542.67</v>
      </c>
      <c r="D15" s="310">
        <v>2950.95</v>
      </c>
      <c r="E15" s="310">
        <v>13189.19</v>
      </c>
      <c r="F15" s="310">
        <v>20835.34</v>
      </c>
      <c r="G15" s="310">
        <v>36533.269999999997</v>
      </c>
      <c r="H15" s="310">
        <v>179.79</v>
      </c>
      <c r="I15" s="310">
        <v>9589.89</v>
      </c>
      <c r="J15" s="310">
        <v>46746.83</v>
      </c>
      <c r="K15" s="310">
        <v>962.58</v>
      </c>
      <c r="L15" s="310">
        <v>1304.19</v>
      </c>
      <c r="M15" s="310">
        <v>7189.48</v>
      </c>
      <c r="N15" s="310">
        <v>9150.66</v>
      </c>
      <c r="O15" s="310">
        <v>33674.9</v>
      </c>
      <c r="P15" s="310">
        <v>17815.13</v>
      </c>
      <c r="Q15" s="310">
        <v>257575.86</v>
      </c>
      <c r="R15" s="575" t="s">
        <v>1602</v>
      </c>
    </row>
    <row r="16" spans="1:18" s="170" customFormat="1" ht="12" customHeight="1">
      <c r="A16" s="588" t="s">
        <v>1668</v>
      </c>
      <c r="B16" s="360">
        <v>67962.134999999995</v>
      </c>
      <c r="C16" s="360">
        <v>21199.138999999999</v>
      </c>
      <c r="D16" s="360">
        <v>4620.3789999999999</v>
      </c>
      <c r="E16" s="360">
        <v>60387.34</v>
      </c>
      <c r="F16" s="360">
        <v>38572.572</v>
      </c>
      <c r="G16" s="360">
        <v>46586.7</v>
      </c>
      <c r="H16" s="360">
        <v>198.36600000000001</v>
      </c>
      <c r="I16" s="360">
        <v>14741.874</v>
      </c>
      <c r="J16" s="360">
        <v>63825.078000000001</v>
      </c>
      <c r="K16" s="360">
        <v>1509.154</v>
      </c>
      <c r="L16" s="360">
        <v>2085.1729999999998</v>
      </c>
      <c r="M16" s="360">
        <v>11936.501</v>
      </c>
      <c r="N16" s="360">
        <v>22274.534</v>
      </c>
      <c r="O16" s="360">
        <v>73061.112999999998</v>
      </c>
      <c r="P16" s="360">
        <v>29821.007999999998</v>
      </c>
      <c r="Q16" s="360">
        <v>458781.06599999999</v>
      </c>
      <c r="R16" s="589" t="s">
        <v>1668</v>
      </c>
    </row>
    <row r="17" spans="1:18" s="170" customFormat="1" ht="12" customHeight="1">
      <c r="A17" s="640" t="s">
        <v>2018</v>
      </c>
      <c r="B17" s="353">
        <f>B29</f>
        <v>68002.862999999998</v>
      </c>
      <c r="C17" s="353">
        <f t="shared" ref="C17:Q17" si="0">C29</f>
        <v>19726.462</v>
      </c>
      <c r="D17" s="353">
        <f t="shared" si="0"/>
        <v>3910.991</v>
      </c>
      <c r="E17" s="353">
        <f t="shared" si="0"/>
        <v>55260.614000000001</v>
      </c>
      <c r="F17" s="353">
        <f t="shared" si="0"/>
        <v>39234.875</v>
      </c>
      <c r="G17" s="353">
        <f t="shared" si="0"/>
        <v>47496.468999999997</v>
      </c>
      <c r="H17" s="353">
        <f t="shared" si="0"/>
        <v>197.02600000000001</v>
      </c>
      <c r="I17" s="353">
        <f t="shared" si="0"/>
        <v>17301.597000000002</v>
      </c>
      <c r="J17" s="353">
        <f t="shared" si="0"/>
        <v>71054.562000000005</v>
      </c>
      <c r="K17" s="353">
        <f t="shared" si="0"/>
        <v>2750.3130000000001</v>
      </c>
      <c r="L17" s="353">
        <f t="shared" si="0"/>
        <v>2611.3119999999999</v>
      </c>
      <c r="M17" s="353">
        <f t="shared" si="0"/>
        <v>11890.557000000001</v>
      </c>
      <c r="N17" s="353">
        <f t="shared" si="0"/>
        <v>16599.167000000001</v>
      </c>
      <c r="O17" s="353">
        <f t="shared" si="0"/>
        <v>59091.580999999998</v>
      </c>
      <c r="P17" s="353">
        <f t="shared" si="0"/>
        <v>41452.983999999997</v>
      </c>
      <c r="Q17" s="353">
        <f t="shared" si="0"/>
        <v>456581.37300000008</v>
      </c>
      <c r="R17" s="566" t="s">
        <v>2018</v>
      </c>
    </row>
    <row r="18" spans="1:18" s="170" customFormat="1" ht="12" customHeight="1">
      <c r="A18" s="561" t="s">
        <v>576</v>
      </c>
      <c r="B18" s="624">
        <v>67616.667000000001</v>
      </c>
      <c r="C18" s="624">
        <v>21474.644</v>
      </c>
      <c r="D18" s="624">
        <v>5208.3590000000004</v>
      </c>
      <c r="E18" s="624">
        <v>63651.858999999997</v>
      </c>
      <c r="F18" s="624">
        <v>40768.993000000002</v>
      </c>
      <c r="G18" s="624">
        <v>48679.767999999996</v>
      </c>
      <c r="H18" s="624">
        <v>209.76300000000001</v>
      </c>
      <c r="I18" s="624">
        <v>15480.004000000001</v>
      </c>
      <c r="J18" s="624">
        <v>68701.176000000007</v>
      </c>
      <c r="K18" s="624">
        <v>1786.6320000000001</v>
      </c>
      <c r="L18" s="624">
        <v>2388.04</v>
      </c>
      <c r="M18" s="624">
        <v>12470.279</v>
      </c>
      <c r="N18" s="624">
        <v>21766.792000000001</v>
      </c>
      <c r="O18" s="624">
        <v>76706.641000000003</v>
      </c>
      <c r="P18" s="268">
        <f>3160.995+2374.254+3567.953+2111.887+19997.069+408.8</f>
        <v>31620.957999999999</v>
      </c>
      <c r="Q18" s="268">
        <f t="shared" ref="Q18:Q33" si="1">SUM(B18:P18)</f>
        <v>478530.57499999995</v>
      </c>
      <c r="R18" s="562" t="s">
        <v>576</v>
      </c>
    </row>
    <row r="19" spans="1:18" s="170" customFormat="1" ht="12" customHeight="1">
      <c r="A19" s="603" t="s">
        <v>577</v>
      </c>
      <c r="B19" s="623">
        <v>72338.934999999998</v>
      </c>
      <c r="C19" s="623">
        <v>24931.061000000002</v>
      </c>
      <c r="D19" s="623">
        <v>4894.4399999999996</v>
      </c>
      <c r="E19" s="623">
        <v>65552.266000000003</v>
      </c>
      <c r="F19" s="623">
        <v>41875.334000000003</v>
      </c>
      <c r="G19" s="623">
        <v>53252.186999999998</v>
      </c>
      <c r="H19" s="623">
        <v>235.51400000000001</v>
      </c>
      <c r="I19" s="623">
        <v>17658.971000000001</v>
      </c>
      <c r="J19" s="623">
        <v>71320.922999999995</v>
      </c>
      <c r="K19" s="623">
        <v>1961.2760000000001</v>
      </c>
      <c r="L19" s="623">
        <v>2454.7869999999998</v>
      </c>
      <c r="M19" s="623">
        <v>15027.222</v>
      </c>
      <c r="N19" s="623">
        <v>22539.714</v>
      </c>
      <c r="O19" s="623">
        <v>74273.065000000002</v>
      </c>
      <c r="P19" s="310">
        <f>3505.414+2632.356+3915.536+2139.045+21598.28+413.12</f>
        <v>34203.751000000004</v>
      </c>
      <c r="Q19" s="310">
        <f t="shared" si="1"/>
        <v>502519.44600000005</v>
      </c>
      <c r="R19" s="575" t="s">
        <v>577</v>
      </c>
    </row>
    <row r="20" spans="1:18" s="170" customFormat="1" ht="12" customHeight="1">
      <c r="A20" s="561" t="s">
        <v>571</v>
      </c>
      <c r="B20" s="624">
        <v>72528.347999999998</v>
      </c>
      <c r="C20" s="624">
        <v>28541.094000000001</v>
      </c>
      <c r="D20" s="624">
        <v>4527.6099999999997</v>
      </c>
      <c r="E20" s="624">
        <v>64271.487000000001</v>
      </c>
      <c r="F20" s="624">
        <v>46096.470999999998</v>
      </c>
      <c r="G20" s="624">
        <v>56101.165000000001</v>
      </c>
      <c r="H20" s="624">
        <v>233.911</v>
      </c>
      <c r="I20" s="624">
        <v>18543.902999999998</v>
      </c>
      <c r="J20" s="624">
        <v>76436.865999999995</v>
      </c>
      <c r="K20" s="624">
        <v>2337.462</v>
      </c>
      <c r="L20" s="624">
        <v>3091.1930000000002</v>
      </c>
      <c r="M20" s="624">
        <v>16677.294000000002</v>
      </c>
      <c r="N20" s="624">
        <v>22544.861000000001</v>
      </c>
      <c r="O20" s="624">
        <v>76521.876000000004</v>
      </c>
      <c r="P20" s="268">
        <f>3603.217+3116.898+4202.551+2918.704+24204.75+408.47</f>
        <v>38454.590000000004</v>
      </c>
      <c r="Q20" s="268">
        <f t="shared" si="1"/>
        <v>526908.13099999994</v>
      </c>
      <c r="R20" s="562" t="s">
        <v>571</v>
      </c>
    </row>
    <row r="21" spans="1:18" s="170" customFormat="1" ht="12" customHeight="1">
      <c r="A21" s="603" t="s">
        <v>578</v>
      </c>
      <c r="B21" s="623">
        <v>73358.629000000001</v>
      </c>
      <c r="C21" s="623">
        <v>24399.685000000001</v>
      </c>
      <c r="D21" s="623">
        <v>4448.0540000000001</v>
      </c>
      <c r="E21" s="623">
        <v>58657.873</v>
      </c>
      <c r="F21" s="623">
        <v>44640.004000000001</v>
      </c>
      <c r="G21" s="623">
        <v>50731.190999999999</v>
      </c>
      <c r="H21" s="623">
        <v>200.41900000000001</v>
      </c>
      <c r="I21" s="623">
        <v>17652.591</v>
      </c>
      <c r="J21" s="623">
        <v>72165.013000000006</v>
      </c>
      <c r="K21" s="623">
        <v>2506.9430000000002</v>
      </c>
      <c r="L21" s="623">
        <v>2984.6959999999999</v>
      </c>
      <c r="M21" s="623">
        <v>14088.704</v>
      </c>
      <c r="N21" s="623">
        <v>21662.871999999999</v>
      </c>
      <c r="O21" s="623">
        <v>72845.698999999993</v>
      </c>
      <c r="P21" s="310">
        <f>3379.149+3535.982+3789.351+2552.163+25681.365+409.2</f>
        <v>39347.21</v>
      </c>
      <c r="Q21" s="310">
        <f t="shared" si="1"/>
        <v>499689.58300000004</v>
      </c>
      <c r="R21" s="575" t="s">
        <v>578</v>
      </c>
    </row>
    <row r="22" spans="1:18" s="170" customFormat="1" ht="12" customHeight="1">
      <c r="A22" s="561" t="s">
        <v>579</v>
      </c>
      <c r="B22" s="624">
        <v>74686.288</v>
      </c>
      <c r="C22" s="624">
        <v>22303.873</v>
      </c>
      <c r="D22" s="624">
        <v>4200.7</v>
      </c>
      <c r="E22" s="624">
        <v>54288.709000000003</v>
      </c>
      <c r="F22" s="624">
        <v>43231.059000000001</v>
      </c>
      <c r="G22" s="624">
        <v>45987.32</v>
      </c>
      <c r="H22" s="624">
        <v>184.53200000000001</v>
      </c>
      <c r="I22" s="624">
        <v>15694.451999999999</v>
      </c>
      <c r="J22" s="624">
        <v>68809.777000000002</v>
      </c>
      <c r="K22" s="624">
        <v>2408.192</v>
      </c>
      <c r="L22" s="624">
        <v>2667.009</v>
      </c>
      <c r="M22" s="624">
        <v>12967.087</v>
      </c>
      <c r="N22" s="624">
        <v>19594.955999999998</v>
      </c>
      <c r="O22" s="624">
        <v>69880.307000000001</v>
      </c>
      <c r="P22" s="268">
        <f>3035.109+3235.387+3896.489+2502.627+24565.925+410.5</f>
        <v>37646.036999999997</v>
      </c>
      <c r="Q22" s="268">
        <f t="shared" si="1"/>
        <v>474550.29800000007</v>
      </c>
      <c r="R22" s="562" t="s">
        <v>579</v>
      </c>
    </row>
    <row r="23" spans="1:18" s="170" customFormat="1" ht="12" customHeight="1">
      <c r="A23" s="603" t="s">
        <v>572</v>
      </c>
      <c r="B23" s="623">
        <v>72701.869000000006</v>
      </c>
      <c r="C23" s="623">
        <v>22836.344000000001</v>
      </c>
      <c r="D23" s="623">
        <v>4048.6019999999999</v>
      </c>
      <c r="E23" s="623">
        <v>56554.961000000003</v>
      </c>
      <c r="F23" s="623">
        <v>44558.463000000003</v>
      </c>
      <c r="G23" s="623">
        <v>46935.637999999999</v>
      </c>
      <c r="H23" s="623">
        <v>205.33500000000001</v>
      </c>
      <c r="I23" s="623">
        <v>16588.208999999999</v>
      </c>
      <c r="J23" s="623">
        <v>71619.951000000001</v>
      </c>
      <c r="K23" s="623">
        <v>3438.0740000000001</v>
      </c>
      <c r="L23" s="623">
        <v>2561.0839999999998</v>
      </c>
      <c r="M23" s="623">
        <v>12697.162</v>
      </c>
      <c r="N23" s="623">
        <v>21394.806</v>
      </c>
      <c r="O23" s="623">
        <v>68780.898000000001</v>
      </c>
      <c r="P23" s="310">
        <f>3063.666+3425.862+4024.182+2489.779+24706.434+616.693</f>
        <v>38326.616000000002</v>
      </c>
      <c r="Q23" s="623">
        <f t="shared" si="1"/>
        <v>483248.01199999993</v>
      </c>
      <c r="R23" s="575" t="s">
        <v>572</v>
      </c>
    </row>
    <row r="24" spans="1:18" s="170" customFormat="1" ht="12" customHeight="1">
      <c r="A24" s="561" t="s">
        <v>580</v>
      </c>
      <c r="B24" s="624">
        <v>74102.317999999999</v>
      </c>
      <c r="C24" s="624">
        <v>23240.934000000001</v>
      </c>
      <c r="D24" s="624">
        <v>4094.8620000000001</v>
      </c>
      <c r="E24" s="624">
        <v>55023.042000000001</v>
      </c>
      <c r="F24" s="624">
        <v>46242.385999999999</v>
      </c>
      <c r="G24" s="624">
        <v>49085.125999999997</v>
      </c>
      <c r="H24" s="624">
        <v>198.23099999999999</v>
      </c>
      <c r="I24" s="624">
        <v>17200.05</v>
      </c>
      <c r="J24" s="624">
        <v>73246.820000000007</v>
      </c>
      <c r="K24" s="624">
        <v>3264.96</v>
      </c>
      <c r="L24" s="624">
        <v>2953.6869999999999</v>
      </c>
      <c r="M24" s="624">
        <v>13302.677</v>
      </c>
      <c r="N24" s="624">
        <v>20937.788</v>
      </c>
      <c r="O24" s="624">
        <v>71370.222999999998</v>
      </c>
      <c r="P24" s="268">
        <f>3626.485+3867.507+3896.69+2668.602+25901.976+3167.879</f>
        <v>43129.138999999996</v>
      </c>
      <c r="Q24" s="268">
        <f t="shared" si="1"/>
        <v>497392.24300000002</v>
      </c>
      <c r="R24" s="562" t="s">
        <v>580</v>
      </c>
    </row>
    <row r="25" spans="1:18" s="170" customFormat="1" ht="12" customHeight="1">
      <c r="A25" s="603" t="s">
        <v>581</v>
      </c>
      <c r="B25" s="623">
        <v>72291.077999999994</v>
      </c>
      <c r="C25" s="623">
        <v>21076.091</v>
      </c>
      <c r="D25" s="623">
        <v>3979.1469999999999</v>
      </c>
      <c r="E25" s="623">
        <v>55657.616000000002</v>
      </c>
      <c r="F25" s="623">
        <v>43975.31</v>
      </c>
      <c r="G25" s="623">
        <v>48112.402999999998</v>
      </c>
      <c r="H25" s="623">
        <v>198.542</v>
      </c>
      <c r="I25" s="623">
        <v>17510.684000000001</v>
      </c>
      <c r="J25" s="623">
        <v>73002.744000000006</v>
      </c>
      <c r="K25" s="623">
        <v>3271.212</v>
      </c>
      <c r="L25" s="623">
        <v>2766.7849999999999</v>
      </c>
      <c r="M25" s="623">
        <v>12481.625</v>
      </c>
      <c r="N25" s="623">
        <v>19354.003000000001</v>
      </c>
      <c r="O25" s="623">
        <v>68007.065000000002</v>
      </c>
      <c r="P25" s="310">
        <f>3159.109+3963.523+3959.01+2706.379+25402.452+3228.127</f>
        <v>42418.6</v>
      </c>
      <c r="Q25" s="310">
        <f t="shared" si="1"/>
        <v>484102.90499999997</v>
      </c>
      <c r="R25" s="575" t="s">
        <v>581</v>
      </c>
    </row>
    <row r="26" spans="1:18" s="170" customFormat="1" ht="12" customHeight="1">
      <c r="A26" s="561" t="s">
        <v>573</v>
      </c>
      <c r="B26" s="624">
        <v>71126.676999999996</v>
      </c>
      <c r="C26" s="624">
        <v>20086.036</v>
      </c>
      <c r="D26" s="624">
        <v>4004.14</v>
      </c>
      <c r="E26" s="624">
        <v>55386.283000000003</v>
      </c>
      <c r="F26" s="624">
        <v>41982.940999999999</v>
      </c>
      <c r="G26" s="624">
        <v>48220.809000000001</v>
      </c>
      <c r="H26" s="624">
        <v>210.113</v>
      </c>
      <c r="I26" s="624">
        <v>17600.581999999999</v>
      </c>
      <c r="J26" s="624">
        <v>73000.616999999998</v>
      </c>
      <c r="K26" s="624">
        <v>3617.8380000000002</v>
      </c>
      <c r="L26" s="624">
        <v>2788.748</v>
      </c>
      <c r="M26" s="624">
        <v>13097.064</v>
      </c>
      <c r="N26" s="624">
        <v>19414.475999999999</v>
      </c>
      <c r="O26" s="624">
        <v>65508.468000000001</v>
      </c>
      <c r="P26" s="268">
        <f>3075.954+4273.947+4113.611+2787.241+25707.113+3300.574</f>
        <v>43258.44</v>
      </c>
      <c r="Q26" s="268">
        <f t="shared" si="1"/>
        <v>479303.23200000002</v>
      </c>
      <c r="R26" s="562" t="s">
        <v>573</v>
      </c>
    </row>
    <row r="27" spans="1:18" s="170" customFormat="1" ht="12" customHeight="1">
      <c r="A27" s="603" t="s">
        <v>582</v>
      </c>
      <c r="B27" s="623">
        <v>69887.167000000001</v>
      </c>
      <c r="C27" s="623">
        <v>20288.153999999999</v>
      </c>
      <c r="D27" s="623">
        <v>3926.46</v>
      </c>
      <c r="E27" s="623">
        <v>57739.375</v>
      </c>
      <c r="F27" s="623">
        <v>41462.281000000003</v>
      </c>
      <c r="G27" s="623">
        <v>47723.546000000002</v>
      </c>
      <c r="H27" s="623">
        <v>194.773</v>
      </c>
      <c r="I27" s="623">
        <v>17057.344000000001</v>
      </c>
      <c r="J27" s="623">
        <v>72877.839000000007</v>
      </c>
      <c r="K27" s="623">
        <v>3582.0680000000002</v>
      </c>
      <c r="L27" s="623">
        <v>2713.46</v>
      </c>
      <c r="M27" s="623">
        <v>13408.684999999999</v>
      </c>
      <c r="N27" s="623">
        <v>18093.829000000002</v>
      </c>
      <c r="O27" s="623">
        <v>63816.358999999997</v>
      </c>
      <c r="P27" s="310">
        <f>2961.14+3972.194+3827.826+3098.591+26236.438+3302.135</f>
        <v>43398.324000000001</v>
      </c>
      <c r="Q27" s="310">
        <f t="shared" si="1"/>
        <v>476169.66400000011</v>
      </c>
      <c r="R27" s="575" t="s">
        <v>582</v>
      </c>
    </row>
    <row r="28" spans="1:18" s="170" customFormat="1" ht="12" customHeight="1">
      <c r="A28" s="561" t="s">
        <v>583</v>
      </c>
      <c r="B28" s="624">
        <v>67958.615999999995</v>
      </c>
      <c r="C28" s="624">
        <v>19947.473000000002</v>
      </c>
      <c r="D28" s="624">
        <v>3842.8710000000001</v>
      </c>
      <c r="E28" s="624">
        <v>54301.131999999998</v>
      </c>
      <c r="F28" s="624">
        <v>39491.868999999999</v>
      </c>
      <c r="G28" s="624">
        <v>46463.408000000003</v>
      </c>
      <c r="H28" s="624">
        <v>187.649</v>
      </c>
      <c r="I28" s="624">
        <v>16745.438999999998</v>
      </c>
      <c r="J28" s="624">
        <v>71673.289000000004</v>
      </c>
      <c r="K28" s="624">
        <v>2634.3969999999999</v>
      </c>
      <c r="L28" s="624">
        <v>2581.65</v>
      </c>
      <c r="M28" s="624">
        <v>12142.59</v>
      </c>
      <c r="N28" s="624">
        <v>16205.163</v>
      </c>
      <c r="O28" s="624">
        <v>60452.281999999999</v>
      </c>
      <c r="P28" s="268">
        <f>3146.376+3666.206+3470.296+2764.997+24605.033+3270.67</f>
        <v>40923.577999999994</v>
      </c>
      <c r="Q28" s="268">
        <f t="shared" si="1"/>
        <v>455551.40600000002</v>
      </c>
      <c r="R28" s="562" t="s">
        <v>583</v>
      </c>
    </row>
    <row r="29" spans="1:18" s="170" customFormat="1" ht="12" customHeight="1">
      <c r="A29" s="603" t="s">
        <v>574</v>
      </c>
      <c r="B29" s="623">
        <v>68002.862999999998</v>
      </c>
      <c r="C29" s="623">
        <v>19726.462</v>
      </c>
      <c r="D29" s="623">
        <v>3910.991</v>
      </c>
      <c r="E29" s="623">
        <v>55260.614000000001</v>
      </c>
      <c r="F29" s="623">
        <v>39234.875</v>
      </c>
      <c r="G29" s="623">
        <v>47496.468999999997</v>
      </c>
      <c r="H29" s="623">
        <v>197.02600000000001</v>
      </c>
      <c r="I29" s="623">
        <v>17301.597000000002</v>
      </c>
      <c r="J29" s="623">
        <v>71054.562000000005</v>
      </c>
      <c r="K29" s="623">
        <v>2750.3130000000001</v>
      </c>
      <c r="L29" s="623">
        <v>2611.3119999999999</v>
      </c>
      <c r="M29" s="623">
        <v>11890.557000000001</v>
      </c>
      <c r="N29" s="623">
        <v>16599.167000000001</v>
      </c>
      <c r="O29" s="623">
        <v>59091.580999999998</v>
      </c>
      <c r="P29" s="310">
        <f>3609.269+3509.873+3355.183+2789.864+3843.877+24344.918</f>
        <v>41452.983999999997</v>
      </c>
      <c r="Q29" s="310">
        <f t="shared" si="1"/>
        <v>456581.37300000008</v>
      </c>
      <c r="R29" s="575" t="s">
        <v>574</v>
      </c>
    </row>
    <row r="30" spans="1:18" s="170" customFormat="1" ht="12" customHeight="1">
      <c r="A30" s="588" t="s">
        <v>2299</v>
      </c>
      <c r="B30" s="360">
        <f>B42</f>
        <v>67510.316000000006</v>
      </c>
      <c r="C30" s="360">
        <f t="shared" ref="C30:Q30" si="2">C42</f>
        <v>18741.575000000001</v>
      </c>
      <c r="D30" s="360">
        <f t="shared" si="2"/>
        <v>3764.1147000000001</v>
      </c>
      <c r="E30" s="360">
        <f t="shared" si="2"/>
        <v>53031.377999999997</v>
      </c>
      <c r="F30" s="360">
        <f t="shared" si="2"/>
        <v>39991.436999999998</v>
      </c>
      <c r="G30" s="360">
        <f t="shared" si="2"/>
        <v>45011.857000000004</v>
      </c>
      <c r="H30" s="360">
        <f t="shared" si="2"/>
        <v>371.97899999999998</v>
      </c>
      <c r="I30" s="360">
        <f t="shared" si="2"/>
        <v>17226.175999999999</v>
      </c>
      <c r="J30" s="360">
        <f t="shared" si="2"/>
        <v>72004.596999999994</v>
      </c>
      <c r="K30" s="360">
        <f t="shared" si="2"/>
        <v>4232.2730000000001</v>
      </c>
      <c r="L30" s="360">
        <f t="shared" si="2"/>
        <v>2931.1860000000001</v>
      </c>
      <c r="M30" s="360">
        <f t="shared" si="2"/>
        <v>12316.058000000001</v>
      </c>
      <c r="N30" s="360">
        <f t="shared" si="2"/>
        <v>18425.573</v>
      </c>
      <c r="O30" s="360">
        <f t="shared" si="2"/>
        <v>58023.178999999996</v>
      </c>
      <c r="P30" s="360">
        <f t="shared" si="2"/>
        <v>42995.048000000003</v>
      </c>
      <c r="Q30" s="360">
        <f t="shared" si="2"/>
        <v>456576.74669999996</v>
      </c>
      <c r="R30" s="589" t="s">
        <v>2299</v>
      </c>
    </row>
    <row r="31" spans="1:18" s="170" customFormat="1" ht="12" customHeight="1">
      <c r="A31" s="603" t="s">
        <v>576</v>
      </c>
      <c r="B31" s="623">
        <v>65457.334000000003</v>
      </c>
      <c r="C31" s="623">
        <v>18985.407999999999</v>
      </c>
      <c r="D31" s="623">
        <v>3850.0590000000002</v>
      </c>
      <c r="E31" s="623">
        <v>52964.053999999996</v>
      </c>
      <c r="F31" s="623">
        <v>38037.769</v>
      </c>
      <c r="G31" s="623">
        <v>44805.618000000002</v>
      </c>
      <c r="H31" s="623">
        <v>196.75800000000001</v>
      </c>
      <c r="I31" s="623">
        <v>17535.436000000002</v>
      </c>
      <c r="J31" s="623">
        <v>69161.164000000004</v>
      </c>
      <c r="K31" s="623">
        <v>3447.7049999999999</v>
      </c>
      <c r="L31" s="623">
        <v>2434.6590000000001</v>
      </c>
      <c r="M31" s="623">
        <v>11352.082</v>
      </c>
      <c r="N31" s="623">
        <v>16430.512999999999</v>
      </c>
      <c r="O31" s="623">
        <v>59130.521000000001</v>
      </c>
      <c r="P31" s="310">
        <f>3210.582+3302.53+3189.413+2561.261+22850.107+3637.19</f>
        <v>38751.082999999999</v>
      </c>
      <c r="Q31" s="310">
        <f t="shared" si="1"/>
        <v>442540.16299999994</v>
      </c>
      <c r="R31" s="575" t="s">
        <v>576</v>
      </c>
    </row>
    <row r="32" spans="1:18" s="170" customFormat="1" ht="12" customHeight="1">
      <c r="A32" s="561" t="s">
        <v>577</v>
      </c>
      <c r="B32" s="624">
        <v>67671.425000000003</v>
      </c>
      <c r="C32" s="624">
        <v>20685.25</v>
      </c>
      <c r="D32" s="624">
        <v>3923.8380000000002</v>
      </c>
      <c r="E32" s="624">
        <v>54469.815999999999</v>
      </c>
      <c r="F32" s="624">
        <v>38395.036</v>
      </c>
      <c r="G32" s="624">
        <v>46088.813000000002</v>
      </c>
      <c r="H32" s="624">
        <v>204.357</v>
      </c>
      <c r="I32" s="624">
        <v>18899.857</v>
      </c>
      <c r="J32" s="624">
        <v>72271.921000000002</v>
      </c>
      <c r="K32" s="624">
        <v>4103.2349999999997</v>
      </c>
      <c r="L32" s="624">
        <v>3172.3960000000002</v>
      </c>
      <c r="M32" s="624">
        <v>12998.727999999999</v>
      </c>
      <c r="N32" s="624">
        <v>16844.252</v>
      </c>
      <c r="O32" s="624">
        <v>58266.019</v>
      </c>
      <c r="P32" s="268">
        <f>3360.252+3342.231+3353.405+3090.845+24151.746+3744.02</f>
        <v>41042.498999999996</v>
      </c>
      <c r="Q32" s="268">
        <f t="shared" si="1"/>
        <v>459037.44199999998</v>
      </c>
      <c r="R32" s="562" t="s">
        <v>577</v>
      </c>
    </row>
    <row r="33" spans="1:18" s="170" customFormat="1" ht="12" customHeight="1">
      <c r="A33" s="603" t="s">
        <v>571</v>
      </c>
      <c r="B33" s="623">
        <v>66553.089000000007</v>
      </c>
      <c r="C33" s="623">
        <v>19717.593000000001</v>
      </c>
      <c r="D33" s="623">
        <v>3863.2179999999998</v>
      </c>
      <c r="E33" s="623">
        <v>53799.815999999999</v>
      </c>
      <c r="F33" s="623">
        <v>38101.561000000002</v>
      </c>
      <c r="G33" s="623">
        <v>45677.81</v>
      </c>
      <c r="H33" s="623">
        <v>257.709</v>
      </c>
      <c r="I33" s="623">
        <v>17639.59</v>
      </c>
      <c r="J33" s="623">
        <v>75228.61</v>
      </c>
      <c r="K33" s="623">
        <v>4404.4759999999997</v>
      </c>
      <c r="L33" s="623">
        <v>3334.9690000000001</v>
      </c>
      <c r="M33" s="623">
        <v>12421.821</v>
      </c>
      <c r="N33" s="623">
        <v>16050.281999999999</v>
      </c>
      <c r="O33" s="623">
        <v>58143.56</v>
      </c>
      <c r="P33" s="310">
        <f>3447.751+3388.372+3812.563+4287.395+26258.445+3713.11</f>
        <v>44907.635999999999</v>
      </c>
      <c r="Q33" s="310">
        <f t="shared" si="1"/>
        <v>460101.74</v>
      </c>
      <c r="R33" s="575" t="s">
        <v>571</v>
      </c>
    </row>
    <row r="34" spans="1:18" s="170" customFormat="1" ht="12" customHeight="1">
      <c r="A34" s="561" t="s">
        <v>578</v>
      </c>
      <c r="B34" s="624">
        <v>66068.740000000005</v>
      </c>
      <c r="C34" s="624">
        <v>18769.64</v>
      </c>
      <c r="D34" s="624">
        <v>3862.13</v>
      </c>
      <c r="E34" s="624">
        <v>52994.66</v>
      </c>
      <c r="F34" s="624">
        <v>37547.46</v>
      </c>
      <c r="G34" s="624">
        <v>44821.36</v>
      </c>
      <c r="H34" s="624">
        <v>280.33</v>
      </c>
      <c r="I34" s="624">
        <v>17198.599999999999</v>
      </c>
      <c r="J34" s="624">
        <v>74236.570000000007</v>
      </c>
      <c r="K34" s="624">
        <v>5011.3</v>
      </c>
      <c r="L34" s="624">
        <v>3025.29</v>
      </c>
      <c r="M34" s="624">
        <v>11147.35</v>
      </c>
      <c r="N34" s="624">
        <v>15846.87</v>
      </c>
      <c r="O34" s="624">
        <v>58023.18</v>
      </c>
      <c r="P34" s="268">
        <f>3203.67+3210+3946.8+4536.15+23366.17+3712.51</f>
        <v>41975.3</v>
      </c>
      <c r="Q34" s="268">
        <f t="shared" ref="Q34:Q39" si="3">SUM(B34:P34)</f>
        <v>450808.77999999991</v>
      </c>
      <c r="R34" s="562" t="s">
        <v>578</v>
      </c>
    </row>
    <row r="35" spans="1:18" s="170" customFormat="1" ht="12" customHeight="1">
      <c r="A35" s="603" t="s">
        <v>579</v>
      </c>
      <c r="B35" s="623">
        <v>66617.14</v>
      </c>
      <c r="C35" s="623">
        <v>18745.060000000001</v>
      </c>
      <c r="D35" s="623">
        <v>3861.05</v>
      </c>
      <c r="E35" s="623">
        <v>52191.35</v>
      </c>
      <c r="F35" s="623">
        <v>37734.639999999999</v>
      </c>
      <c r="G35" s="623">
        <v>44672.63</v>
      </c>
      <c r="H35" s="623">
        <v>303.95999999999998</v>
      </c>
      <c r="I35" s="623">
        <v>17150</v>
      </c>
      <c r="J35" s="623">
        <v>72294.53</v>
      </c>
      <c r="K35" s="623">
        <v>4160.53</v>
      </c>
      <c r="L35" s="623">
        <v>2772.13</v>
      </c>
      <c r="M35" s="623">
        <v>11285.57</v>
      </c>
      <c r="N35" s="623">
        <v>16281.88</v>
      </c>
      <c r="O35" s="623">
        <v>58023.18</v>
      </c>
      <c r="P35" s="310">
        <f>3246.17+3214.61+4070.61+4386.91+21922.89+3742</f>
        <v>40583.19</v>
      </c>
      <c r="Q35" s="310">
        <f t="shared" si="3"/>
        <v>446676.84</v>
      </c>
      <c r="R35" s="575" t="s">
        <v>579</v>
      </c>
    </row>
    <row r="36" spans="1:18" s="170" customFormat="1" ht="12" customHeight="1">
      <c r="A36" s="561" t="s">
        <v>572</v>
      </c>
      <c r="B36" s="624">
        <v>66662.7</v>
      </c>
      <c r="C36" s="624">
        <v>18801.560000000001</v>
      </c>
      <c r="D36" s="624">
        <v>3853.2</v>
      </c>
      <c r="E36" s="624">
        <v>52529.19</v>
      </c>
      <c r="F36" s="624">
        <v>37860.449999999997</v>
      </c>
      <c r="G36" s="624">
        <v>44624.46</v>
      </c>
      <c r="H36" s="624">
        <v>363.28</v>
      </c>
      <c r="I36" s="624">
        <v>17068.16</v>
      </c>
      <c r="J36" s="624">
        <v>72830.039999999994</v>
      </c>
      <c r="K36" s="624">
        <v>4002.44</v>
      </c>
      <c r="L36" s="624">
        <v>2712.27</v>
      </c>
      <c r="M36" s="624">
        <v>11106.53</v>
      </c>
      <c r="N36" s="624">
        <v>16242.39</v>
      </c>
      <c r="O36" s="624">
        <v>58023.18</v>
      </c>
      <c r="P36" s="268">
        <f>3259.47+3267.12+3935.21+4329.09+21943.23+3759.01</f>
        <v>40493.129999999997</v>
      </c>
      <c r="Q36" s="268">
        <f t="shared" si="3"/>
        <v>447172.98000000004</v>
      </c>
      <c r="R36" s="562" t="s">
        <v>572</v>
      </c>
    </row>
    <row r="37" spans="1:18" s="170" customFormat="1" ht="12" customHeight="1">
      <c r="A37" s="603" t="s">
        <v>580</v>
      </c>
      <c r="B37" s="623">
        <v>66871.94</v>
      </c>
      <c r="C37" s="623">
        <v>18846.669999999998</v>
      </c>
      <c r="D37" s="623">
        <v>3841.89</v>
      </c>
      <c r="E37" s="623">
        <v>52679.15</v>
      </c>
      <c r="F37" s="623">
        <v>37907.910000000003</v>
      </c>
      <c r="G37" s="623">
        <v>44663.57</v>
      </c>
      <c r="H37" s="623">
        <v>310.93</v>
      </c>
      <c r="I37" s="623">
        <v>16736.05</v>
      </c>
      <c r="J37" s="623">
        <v>72906.240000000005</v>
      </c>
      <c r="K37" s="623">
        <v>4098.8500000000004</v>
      </c>
      <c r="L37" s="623">
        <v>3026.11</v>
      </c>
      <c r="M37" s="623">
        <v>11118.8</v>
      </c>
      <c r="N37" s="623">
        <v>17551.09</v>
      </c>
      <c r="O37" s="623">
        <v>58023.18</v>
      </c>
      <c r="P37" s="310">
        <f>3220.19+3203.64+4314.26+5574.4+22038.34+3656.51</f>
        <v>42007.340000000004</v>
      </c>
      <c r="Q37" s="310">
        <f t="shared" si="3"/>
        <v>450589.72</v>
      </c>
      <c r="R37" s="575" t="s">
        <v>580</v>
      </c>
    </row>
    <row r="38" spans="1:18" s="170" customFormat="1" ht="12" customHeight="1">
      <c r="A38" s="561" t="s">
        <v>581</v>
      </c>
      <c r="B38" s="624">
        <v>66923.063999999998</v>
      </c>
      <c r="C38" s="624">
        <v>18769.088</v>
      </c>
      <c r="D38" s="624">
        <v>3751.027</v>
      </c>
      <c r="E38" s="624">
        <v>52619.106</v>
      </c>
      <c r="F38" s="624">
        <v>38130.510999999999</v>
      </c>
      <c r="G38" s="624">
        <v>44565.917000000001</v>
      </c>
      <c r="H38" s="624">
        <v>314.70400000000001</v>
      </c>
      <c r="I38" s="624">
        <v>16602.603999999999</v>
      </c>
      <c r="J38" s="624">
        <v>72479.353000000003</v>
      </c>
      <c r="K38" s="624">
        <v>4029.625</v>
      </c>
      <c r="L38" s="624">
        <v>2832.21</v>
      </c>
      <c r="M38" s="624">
        <v>11089.456</v>
      </c>
      <c r="N38" s="624">
        <v>16067.771000000001</v>
      </c>
      <c r="O38" s="624">
        <v>58023.178999999996</v>
      </c>
      <c r="P38" s="268">
        <f>3217.489+3238.811+4136.647+5619.79+21986.827+3661.905</f>
        <v>41861.468999999997</v>
      </c>
      <c r="Q38" s="268">
        <f t="shared" si="3"/>
        <v>448059.08399999997</v>
      </c>
      <c r="R38" s="562" t="s">
        <v>581</v>
      </c>
    </row>
    <row r="39" spans="1:18" s="170" customFormat="1" ht="12" customHeight="1">
      <c r="A39" s="603" t="s">
        <v>573</v>
      </c>
      <c r="B39" s="623">
        <v>67323.73</v>
      </c>
      <c r="C39" s="623">
        <v>18693.95</v>
      </c>
      <c r="D39" s="623">
        <v>3732.44</v>
      </c>
      <c r="E39" s="623">
        <v>52532.73</v>
      </c>
      <c r="F39" s="623">
        <v>38756.769999999997</v>
      </c>
      <c r="G39" s="623">
        <v>44667.34</v>
      </c>
      <c r="H39" s="623">
        <v>311.93</v>
      </c>
      <c r="I39" s="623">
        <v>16681.11</v>
      </c>
      <c r="J39" s="623">
        <v>71236.350000000006</v>
      </c>
      <c r="K39" s="623">
        <v>4009.91</v>
      </c>
      <c r="L39" s="623">
        <v>2996.56</v>
      </c>
      <c r="M39" s="623">
        <v>11094.23</v>
      </c>
      <c r="N39" s="623">
        <v>16060.22</v>
      </c>
      <c r="O39" s="623">
        <v>58023.18</v>
      </c>
      <c r="P39" s="310">
        <f>3309.84+4456.47+6182.81+3200.11+22054.58+3514.8</f>
        <v>42718.61</v>
      </c>
      <c r="Q39" s="310">
        <f t="shared" si="3"/>
        <v>448839.05999999988</v>
      </c>
      <c r="R39" s="575" t="s">
        <v>573</v>
      </c>
    </row>
    <row r="40" spans="1:18" s="170" customFormat="1" ht="12" customHeight="1">
      <c r="A40" s="561" t="s">
        <v>582</v>
      </c>
      <c r="B40" s="624">
        <v>67991.72</v>
      </c>
      <c r="C40" s="624">
        <v>18670.78</v>
      </c>
      <c r="D40" s="624">
        <v>3731.77</v>
      </c>
      <c r="E40" s="624">
        <v>52502.559999999998</v>
      </c>
      <c r="F40" s="624">
        <v>38277.57</v>
      </c>
      <c r="G40" s="624">
        <v>44833.84</v>
      </c>
      <c r="H40" s="624">
        <v>371.71</v>
      </c>
      <c r="I40" s="624">
        <v>16720.7</v>
      </c>
      <c r="J40" s="624">
        <v>71440.89</v>
      </c>
      <c r="K40" s="624">
        <v>4184.57</v>
      </c>
      <c r="L40" s="624">
        <v>3138.05</v>
      </c>
      <c r="M40" s="624">
        <v>11967.31</v>
      </c>
      <c r="N40" s="624">
        <v>16124.59</v>
      </c>
      <c r="O40" s="624">
        <v>58023.18</v>
      </c>
      <c r="P40" s="268">
        <f>3157.63+3366.46+4357.53+5996.83+22338.66+3514.04</f>
        <v>42731.15</v>
      </c>
      <c r="Q40" s="268">
        <f>SUM(B40:P40)</f>
        <v>450710.39000000007</v>
      </c>
      <c r="R40" s="562" t="s">
        <v>582</v>
      </c>
    </row>
    <row r="41" spans="1:18" s="170" customFormat="1" ht="12" customHeight="1">
      <c r="A41" s="603" t="s">
        <v>583</v>
      </c>
      <c r="B41" s="623">
        <v>66807.5</v>
      </c>
      <c r="C41" s="623">
        <v>18724.95</v>
      </c>
      <c r="D41" s="623">
        <v>3775.81</v>
      </c>
      <c r="E41" s="623">
        <v>52860.62</v>
      </c>
      <c r="F41" s="623">
        <v>39915.08</v>
      </c>
      <c r="G41" s="623">
        <v>45009.91</v>
      </c>
      <c r="H41" s="623">
        <v>392.51</v>
      </c>
      <c r="I41" s="623">
        <v>17000.939999999999</v>
      </c>
      <c r="J41" s="623">
        <v>71941.42</v>
      </c>
      <c r="K41" s="623">
        <v>4297.59</v>
      </c>
      <c r="L41" s="623">
        <v>3006.42</v>
      </c>
      <c r="M41" s="623">
        <v>12508.25</v>
      </c>
      <c r="N41" s="623">
        <v>18460.57</v>
      </c>
      <c r="O41" s="623">
        <v>58023.18</v>
      </c>
      <c r="P41" s="310">
        <f>3199.48+3424.32+4480.61+5265.58+22813.13+3528.9</f>
        <v>42712.020000000004</v>
      </c>
      <c r="Q41" s="310">
        <f>SUM(B41:P41)</f>
        <v>455436.77000000008</v>
      </c>
      <c r="R41" s="575" t="s">
        <v>583</v>
      </c>
    </row>
    <row r="42" spans="1:18" s="170" customFormat="1" ht="12" customHeight="1">
      <c r="A42" s="561" t="s">
        <v>574</v>
      </c>
      <c r="B42" s="624">
        <v>67510.316000000006</v>
      </c>
      <c r="C42" s="624">
        <v>18741.575000000001</v>
      </c>
      <c r="D42" s="624">
        <v>3764.1147000000001</v>
      </c>
      <c r="E42" s="624">
        <v>53031.377999999997</v>
      </c>
      <c r="F42" s="624">
        <v>39991.436999999998</v>
      </c>
      <c r="G42" s="624">
        <v>45011.857000000004</v>
      </c>
      <c r="H42" s="624">
        <v>371.97899999999998</v>
      </c>
      <c r="I42" s="624">
        <v>17226.175999999999</v>
      </c>
      <c r="J42" s="624">
        <v>72004.596999999994</v>
      </c>
      <c r="K42" s="624">
        <v>4232.2730000000001</v>
      </c>
      <c r="L42" s="624">
        <v>2931.1860000000001</v>
      </c>
      <c r="M42" s="624">
        <v>12316.058000000001</v>
      </c>
      <c r="N42" s="624">
        <v>18425.573</v>
      </c>
      <c r="O42" s="624">
        <v>58023.178999999996</v>
      </c>
      <c r="P42" s="268">
        <f>3203.225+3479.956+4325.231+5053.542+22843.839+4089.255</f>
        <v>42995.048000000003</v>
      </c>
      <c r="Q42" s="268">
        <f>SUM(B42:P42)</f>
        <v>456576.74669999996</v>
      </c>
      <c r="R42" s="562" t="s">
        <v>574</v>
      </c>
    </row>
    <row r="43" spans="1:18" s="170" customFormat="1" ht="12" customHeight="1">
      <c r="A43" s="640" t="s">
        <v>2515</v>
      </c>
      <c r="B43" s="623"/>
      <c r="C43" s="623"/>
      <c r="D43" s="623"/>
      <c r="E43" s="623"/>
      <c r="F43" s="623"/>
      <c r="G43" s="623"/>
      <c r="H43" s="623"/>
      <c r="I43" s="623"/>
      <c r="J43" s="623"/>
      <c r="K43" s="623"/>
      <c r="L43" s="623"/>
      <c r="M43" s="623"/>
      <c r="N43" s="623"/>
      <c r="O43" s="623"/>
      <c r="P43" s="310"/>
      <c r="Q43" s="310"/>
      <c r="R43" s="566" t="s">
        <v>2515</v>
      </c>
    </row>
    <row r="44" spans="1:18" s="170" customFormat="1" ht="12" customHeight="1">
      <c r="A44" s="561" t="s">
        <v>576</v>
      </c>
      <c r="B44" s="624">
        <v>68558.23</v>
      </c>
      <c r="C44" s="624">
        <v>18692.868999999999</v>
      </c>
      <c r="D44" s="624">
        <v>3760.645</v>
      </c>
      <c r="E44" s="624">
        <v>52893.324000000001</v>
      </c>
      <c r="F44" s="624">
        <v>39755.911999999997</v>
      </c>
      <c r="G44" s="624">
        <v>44783.572999999997</v>
      </c>
      <c r="H44" s="624">
        <v>397.05700000000002</v>
      </c>
      <c r="I44" s="624">
        <v>17216.076000000001</v>
      </c>
      <c r="J44" s="624">
        <v>71831.267999999996</v>
      </c>
      <c r="K44" s="624">
        <v>4101.0129999999999</v>
      </c>
      <c r="L44" s="624">
        <v>2781.27</v>
      </c>
      <c r="M44" s="624">
        <v>12326.138000000001</v>
      </c>
      <c r="N44" s="624">
        <v>18567.451000000001</v>
      </c>
      <c r="O44" s="624">
        <v>58023.178999999996</v>
      </c>
      <c r="P44" s="268">
        <f>3159.836+3422.68+4119.144+4946.04+22838.594+4088.319</f>
        <v>42574.613000000005</v>
      </c>
      <c r="Q44" s="268">
        <f t="shared" ref="Q44:Q49" si="4">SUM(B44:P44)</f>
        <v>456262.61799999996</v>
      </c>
      <c r="R44" s="562" t="s">
        <v>576</v>
      </c>
    </row>
    <row r="45" spans="1:18" s="170" customFormat="1" ht="12" customHeight="1">
      <c r="A45" s="603" t="s">
        <v>577</v>
      </c>
      <c r="B45" s="623">
        <v>68493.937999999995</v>
      </c>
      <c r="C45" s="623">
        <v>18671.004000000001</v>
      </c>
      <c r="D45" s="623">
        <v>3746.0749999999998</v>
      </c>
      <c r="E45" s="623">
        <v>52781.805</v>
      </c>
      <c r="F45" s="623">
        <v>40086.315999999999</v>
      </c>
      <c r="G45" s="623">
        <v>44893.849000000002</v>
      </c>
      <c r="H45" s="623">
        <v>394.91899999999998</v>
      </c>
      <c r="I45" s="623">
        <v>17091.196</v>
      </c>
      <c r="J45" s="623">
        <v>72311.37</v>
      </c>
      <c r="K45" s="623">
        <v>4233.058</v>
      </c>
      <c r="L45" s="623">
        <v>2806.2779999999998</v>
      </c>
      <c r="M45" s="623">
        <v>12398.548000000001</v>
      </c>
      <c r="N45" s="623">
        <v>17446.334999999999</v>
      </c>
      <c r="O45" s="623">
        <v>58023.178999999996</v>
      </c>
      <c r="P45" s="310">
        <f>3144.596+3405.184+4148.163+4465.432+23044.062+4087.799</f>
        <v>42295.236000000004</v>
      </c>
      <c r="Q45" s="310">
        <f t="shared" si="4"/>
        <v>455673.10600000003</v>
      </c>
      <c r="R45" s="575" t="s">
        <v>577</v>
      </c>
    </row>
    <row r="46" spans="1:18" s="170" customFormat="1" ht="12" customHeight="1">
      <c r="A46" s="561" t="s">
        <v>571</v>
      </c>
      <c r="B46" s="624">
        <v>68069.134999999995</v>
      </c>
      <c r="C46" s="624">
        <v>18652.02</v>
      </c>
      <c r="D46" s="624">
        <v>3740.2579999999998</v>
      </c>
      <c r="E46" s="624">
        <v>52625.231</v>
      </c>
      <c r="F46" s="624">
        <v>39780.33</v>
      </c>
      <c r="G46" s="624">
        <v>44781.463000000003</v>
      </c>
      <c r="H46" s="624">
        <v>390.28100000000001</v>
      </c>
      <c r="I46" s="624">
        <v>16893.114000000001</v>
      </c>
      <c r="J46" s="624">
        <v>71773.731</v>
      </c>
      <c r="K46" s="624">
        <v>3970.431</v>
      </c>
      <c r="L46" s="624">
        <v>2851.0010000000002</v>
      </c>
      <c r="M46" s="624">
        <v>12272.478999999999</v>
      </c>
      <c r="N46" s="624">
        <v>18806.151000000002</v>
      </c>
      <c r="O46" s="624">
        <v>58023.178999999996</v>
      </c>
      <c r="P46" s="268">
        <f>3144.596+3597.07+4113.995+4655.642+22500.39+4087.599</f>
        <v>42099.292000000001</v>
      </c>
      <c r="Q46" s="268">
        <f t="shared" si="4"/>
        <v>454728.09599999996</v>
      </c>
      <c r="R46" s="562" t="s">
        <v>571</v>
      </c>
    </row>
    <row r="47" spans="1:18" s="170" customFormat="1" ht="12" customHeight="1">
      <c r="A47" s="603" t="s">
        <v>578</v>
      </c>
      <c r="B47" s="623">
        <v>68412.78</v>
      </c>
      <c r="C47" s="623">
        <v>18652.02</v>
      </c>
      <c r="D47" s="623">
        <v>4156.5060000000003</v>
      </c>
      <c r="E47" s="623">
        <v>52734.328000000001</v>
      </c>
      <c r="F47" s="623">
        <v>39762.521000000001</v>
      </c>
      <c r="G47" s="623">
        <v>44841.031999999999</v>
      </c>
      <c r="H47" s="623">
        <v>472.39499999999998</v>
      </c>
      <c r="I47" s="623">
        <v>16749.076000000001</v>
      </c>
      <c r="J47" s="623">
        <v>72060.051000000007</v>
      </c>
      <c r="K47" s="623">
        <v>3816.4659999999999</v>
      </c>
      <c r="L47" s="623">
        <v>2818.308</v>
      </c>
      <c r="M47" s="623">
        <v>12312.032999999999</v>
      </c>
      <c r="N47" s="623">
        <v>18030.512999999999</v>
      </c>
      <c r="O47" s="623">
        <v>58023.178999999996</v>
      </c>
      <c r="P47" s="310">
        <f>3144.596+3551.703+3889.352+4584.273+22596.734+4088.309</f>
        <v>41854.966999999997</v>
      </c>
      <c r="Q47" s="310">
        <f t="shared" si="4"/>
        <v>454696.17500000005</v>
      </c>
      <c r="R47" s="575" t="s">
        <v>578</v>
      </c>
    </row>
    <row r="48" spans="1:18" s="170" customFormat="1" ht="12" customHeight="1">
      <c r="A48" s="561" t="s">
        <v>579</v>
      </c>
      <c r="B48" s="624">
        <v>67952.573999999993</v>
      </c>
      <c r="C48" s="624">
        <v>18657.198</v>
      </c>
      <c r="D48" s="624">
        <v>3907.6260000000002</v>
      </c>
      <c r="E48" s="624">
        <v>52896.678</v>
      </c>
      <c r="F48" s="624">
        <v>39161.250999999997</v>
      </c>
      <c r="G48" s="624">
        <v>44787.432000000001</v>
      </c>
      <c r="H48" s="624">
        <v>439.06</v>
      </c>
      <c r="I48" s="624">
        <v>17276.647000000001</v>
      </c>
      <c r="J48" s="624">
        <v>71815.494999999995</v>
      </c>
      <c r="K48" s="624">
        <v>3922.0720000000001</v>
      </c>
      <c r="L48" s="624">
        <v>2745.8449999999998</v>
      </c>
      <c r="M48" s="624">
        <v>12040.441000000001</v>
      </c>
      <c r="N48" s="624">
        <v>17132.940999999999</v>
      </c>
      <c r="O48" s="624">
        <v>58023.178999999996</v>
      </c>
      <c r="P48" s="268">
        <f>3215.45+3492.616+3715.431+4259.053+22681.461+4138.309</f>
        <v>41502.32</v>
      </c>
      <c r="Q48" s="268">
        <f t="shared" si="4"/>
        <v>452260.75899999996</v>
      </c>
      <c r="R48" s="562" t="s">
        <v>579</v>
      </c>
    </row>
    <row r="49" spans="1:18" s="170" customFormat="1" ht="12" customHeight="1">
      <c r="A49" s="603" t="s">
        <v>572</v>
      </c>
      <c r="B49" s="623">
        <v>68651.072</v>
      </c>
      <c r="C49" s="623">
        <v>18694.316999999999</v>
      </c>
      <c r="D49" s="623">
        <v>4147.3810000000003</v>
      </c>
      <c r="E49" s="623">
        <v>53188.73</v>
      </c>
      <c r="F49" s="623">
        <v>39192.516000000003</v>
      </c>
      <c r="G49" s="623">
        <v>44645.279999999999</v>
      </c>
      <c r="H49" s="623">
        <v>402.577</v>
      </c>
      <c r="I49" s="623">
        <v>17172.57</v>
      </c>
      <c r="J49" s="623">
        <v>72148.035000000003</v>
      </c>
      <c r="K49" s="623">
        <v>3888.9949999999999</v>
      </c>
      <c r="L49" s="623">
        <v>2750.5160000000001</v>
      </c>
      <c r="M49" s="623">
        <v>12140.829</v>
      </c>
      <c r="N49" s="623">
        <v>17567.964</v>
      </c>
      <c r="O49" s="623">
        <v>58023.178999999996</v>
      </c>
      <c r="P49" s="310">
        <f>3212.365+3480.697+3804.317+3249.123+23250.796+4520.129</f>
        <v>41517.426999999996</v>
      </c>
      <c r="Q49" s="310">
        <f t="shared" si="4"/>
        <v>454131.38800000004</v>
      </c>
      <c r="R49" s="575" t="s">
        <v>572</v>
      </c>
    </row>
    <row r="50" spans="1:18" s="170" customFormat="1" ht="12" customHeight="1" thickBot="1">
      <c r="A50" s="1723" t="s">
        <v>580</v>
      </c>
      <c r="B50" s="1834">
        <v>66732</v>
      </c>
      <c r="C50" s="1834">
        <v>13949.92</v>
      </c>
      <c r="D50" s="1834">
        <v>3625.89</v>
      </c>
      <c r="E50" s="1834">
        <v>41866.589999999997</v>
      </c>
      <c r="F50" s="1834">
        <v>39274.379999999997</v>
      </c>
      <c r="G50" s="1834">
        <v>36961.82</v>
      </c>
      <c r="H50" s="1834">
        <v>383.29</v>
      </c>
      <c r="I50" s="1834">
        <v>13896.84</v>
      </c>
      <c r="J50" s="1834">
        <v>71031.899999999994</v>
      </c>
      <c r="K50" s="1834">
        <v>3624.61</v>
      </c>
      <c r="L50" s="1834">
        <v>2499.04</v>
      </c>
      <c r="M50" s="1834">
        <v>12569.16</v>
      </c>
      <c r="N50" s="1834">
        <v>17143.59</v>
      </c>
      <c r="O50" s="1834">
        <v>57060.13</v>
      </c>
      <c r="P50" s="749">
        <f>3114.2+3893.99+3354.96+2518.15+25041.51+4342.27</f>
        <v>42265.08</v>
      </c>
      <c r="Q50" s="749">
        <f>SUM(B50:P50)</f>
        <v>422884.24</v>
      </c>
      <c r="R50" s="1835" t="s">
        <v>580</v>
      </c>
    </row>
    <row r="51" spans="1:18" s="170" customFormat="1" ht="11.1" customHeight="1">
      <c r="A51" s="54" t="s">
        <v>1430</v>
      </c>
      <c r="B51" s="678" t="s">
        <v>1389</v>
      </c>
      <c r="C51" s="677"/>
      <c r="D51" s="677"/>
      <c r="E51" s="677"/>
      <c r="F51" s="677"/>
      <c r="G51" s="677"/>
      <c r="H51" s="100"/>
      <c r="I51" s="66"/>
      <c r="J51" s="2323" t="s">
        <v>2495</v>
      </c>
      <c r="K51" s="2323"/>
      <c r="L51" s="2323"/>
      <c r="M51" s="2323"/>
      <c r="N51" s="2323"/>
      <c r="O51" s="2323"/>
      <c r="P51" s="2323"/>
      <c r="Q51" s="2323"/>
      <c r="R51" s="2323"/>
    </row>
    <row r="52" spans="1:18" s="170" customFormat="1" ht="11.1" customHeight="1">
      <c r="A52" s="44"/>
      <c r="B52" s="2004"/>
      <c r="C52" s="2004"/>
      <c r="D52" s="182"/>
      <c r="E52" s="182"/>
      <c r="F52" s="182"/>
      <c r="G52" s="182"/>
      <c r="H52" s="16"/>
      <c r="I52" s="16"/>
      <c r="J52" s="2314" t="s">
        <v>2494</v>
      </c>
      <c r="K52" s="2314"/>
      <c r="L52" s="2314"/>
      <c r="M52" s="2314"/>
      <c r="N52" s="8"/>
      <c r="O52" s="16"/>
      <c r="P52" s="16"/>
      <c r="Q52" s="16"/>
      <c r="R52" s="72"/>
    </row>
    <row r="53" spans="1:18" s="170" customFormat="1" ht="11.1" customHeight="1">
      <c r="A53" s="17"/>
      <c r="B53" s="8"/>
      <c r="C53" s="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17"/>
    </row>
    <row r="54" spans="1:18" s="170" customFormat="1" ht="11.1" customHeight="1">
      <c r="A54" s="582"/>
      <c r="Q54" s="505"/>
      <c r="R54" s="539"/>
    </row>
    <row r="55" spans="1:18" s="170" customFormat="1" ht="11.1" customHeight="1">
      <c r="A55" s="577"/>
      <c r="Q55" s="832"/>
      <c r="R55" s="539"/>
    </row>
    <row r="56" spans="1:18" s="170" customFormat="1" ht="11.1" customHeight="1">
      <c r="A56" s="44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8"/>
      <c r="R56" s="17"/>
    </row>
    <row r="57" spans="1:18" s="170" customFormat="1" ht="11.1" customHeight="1">
      <c r="A57" s="44"/>
      <c r="B57" s="8"/>
      <c r="C57" s="8"/>
      <c r="D57" s="8"/>
      <c r="E57" s="8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70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70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70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70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70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ht="9.75" customHeight="1">
      <c r="R63" s="17"/>
    </row>
    <row r="64" spans="1:18" ht="9.75" customHeight="1">
      <c r="R64" s="17"/>
    </row>
    <row r="65" spans="1:18">
      <c r="R65" s="17"/>
    </row>
    <row r="66" spans="1:18" s="170" customFormat="1">
      <c r="A66" s="17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17"/>
    </row>
    <row r="67" spans="1:18" s="170" customFormat="1">
      <c r="A67" s="17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2:C52"/>
    <mergeCell ref="J52:M52"/>
    <mergeCell ref="J1:P1"/>
    <mergeCell ref="A1:I1"/>
    <mergeCell ref="Q1:R1"/>
    <mergeCell ref="B3:Q3"/>
    <mergeCell ref="Q2:R2"/>
    <mergeCell ref="R3:R4"/>
    <mergeCell ref="A3:A4"/>
    <mergeCell ref="J51:R51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BF4" zoomScale="190" zoomScaleNormal="190" zoomScaleSheetLayoutView="120" workbookViewId="0">
      <selection activeCell="H10" sqref="H10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75" customWidth="1"/>
    <col min="11" max="11" width="12.5703125" style="170" customWidth="1"/>
    <col min="12" max="12" width="4.7109375" style="170" customWidth="1"/>
    <col min="13" max="13" width="9" style="170" customWidth="1"/>
    <col min="14" max="14" width="9.42578125" style="170" customWidth="1"/>
    <col min="15" max="15" width="6" style="276" customWidth="1"/>
    <col min="16" max="16" width="8.5703125" style="170" customWidth="1"/>
    <col min="17" max="17" width="6.85546875" style="170" customWidth="1"/>
    <col min="18" max="18" width="14.7109375" style="275" customWidth="1"/>
    <col min="19" max="19" width="3.85546875" style="170" customWidth="1"/>
    <col min="20" max="20" width="11" style="170" customWidth="1"/>
    <col min="21" max="21" width="4.7109375" style="170" customWidth="1"/>
    <col min="22" max="22" width="8.85546875" style="170" customWidth="1"/>
    <col min="23" max="23" width="9.7109375" style="276" customWidth="1"/>
    <col min="24" max="24" width="5.42578125" style="170" customWidth="1"/>
    <col min="25" max="25" width="10.28515625" style="170" customWidth="1"/>
    <col min="26" max="26" width="7" style="277" customWidth="1"/>
    <col min="27" max="27" width="17.140625" style="170" customWidth="1"/>
    <col min="28" max="28" width="4.28515625" style="170" customWidth="1"/>
    <col min="29" max="29" width="14" style="170" customWidth="1"/>
    <col min="30" max="30" width="4.5703125" style="170" customWidth="1"/>
    <col min="31" max="32" width="9.42578125" style="170" customWidth="1"/>
    <col min="33" max="33" width="6.140625" style="170" customWidth="1"/>
    <col min="34" max="34" width="8.85546875" style="170" customWidth="1"/>
    <col min="35" max="35" width="6" style="170" customWidth="1"/>
    <col min="36" max="36" width="13.7109375" style="170" customWidth="1"/>
    <col min="37" max="37" width="4.28515625" style="277" customWidth="1"/>
    <col min="38" max="38" width="12.7109375" style="170" customWidth="1"/>
    <col min="39" max="39" width="6.140625" style="170" customWidth="1"/>
    <col min="40" max="40" width="9.28515625" style="170" customWidth="1"/>
    <col min="41" max="41" width="10" style="170" customWidth="1"/>
    <col min="42" max="42" width="6.7109375" style="170" customWidth="1"/>
    <col min="43" max="43" width="9.140625" style="170"/>
    <col min="44" max="44" width="5.85546875" style="170" customWidth="1"/>
    <col min="45" max="45" width="15.140625" style="277" customWidth="1"/>
    <col min="46" max="46" width="4.42578125" style="170" customWidth="1"/>
    <col min="47" max="47" width="11.42578125" style="170" customWidth="1"/>
    <col min="48" max="48" width="4.5703125" style="170" customWidth="1"/>
    <col min="49" max="49" width="8.42578125" style="170" customWidth="1"/>
    <col min="50" max="50" width="9.5703125" style="170" customWidth="1"/>
    <col min="51" max="51" width="5.85546875" style="170" customWidth="1"/>
    <col min="52" max="52" width="9.28515625" style="170" customWidth="1"/>
    <col min="53" max="53" width="6" style="170" customWidth="1"/>
    <col min="54" max="54" width="16.140625" style="277" customWidth="1"/>
    <col min="55" max="55" width="4.42578125" style="170" customWidth="1"/>
    <col min="56" max="56" width="12.7109375" style="170" customWidth="1"/>
    <col min="57" max="57" width="4.5703125" style="170" customWidth="1"/>
    <col min="58" max="58" width="8.28515625" style="170" customWidth="1"/>
    <col min="59" max="59" width="9.140625" style="170"/>
    <col min="60" max="60" width="6.42578125" style="170" customWidth="1"/>
    <col min="61" max="61" width="9.140625" style="170" customWidth="1"/>
    <col min="62" max="62" width="5.85546875" style="170" customWidth="1"/>
    <col min="63" max="63" width="17" style="277" customWidth="1"/>
    <col min="64" max="64" width="3.140625" style="170" customWidth="1"/>
    <col min="65" max="65" width="17" style="170" customWidth="1"/>
    <col min="66" max="66" width="6.42578125" style="170" customWidth="1"/>
    <col min="67" max="67" width="8.7109375" style="170" customWidth="1"/>
    <col min="68" max="68" width="10.140625" style="170" customWidth="1"/>
    <col min="69" max="69" width="6.140625" style="170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08" customFormat="1" ht="21" customHeight="1">
      <c r="A1" s="2329" t="s">
        <v>932</v>
      </c>
      <c r="B1" s="2329"/>
      <c r="C1" s="2329"/>
      <c r="D1" s="2329"/>
      <c r="E1" s="2329"/>
      <c r="F1" s="2329"/>
      <c r="G1" s="2329"/>
      <c r="H1" s="2329"/>
      <c r="I1" s="2329"/>
      <c r="J1" s="2330" t="s">
        <v>934</v>
      </c>
      <c r="K1" s="2330"/>
      <c r="L1" s="2330"/>
      <c r="M1" s="2330"/>
      <c r="N1" s="2330"/>
      <c r="O1" s="963"/>
      <c r="P1" s="2331" t="s">
        <v>1680</v>
      </c>
      <c r="Q1" s="2331"/>
      <c r="R1" s="2331"/>
      <c r="X1" s="963"/>
      <c r="Y1" s="2332" t="s">
        <v>933</v>
      </c>
      <c r="Z1" s="2332"/>
      <c r="AA1" s="2332"/>
      <c r="AB1" s="2330" t="s">
        <v>934</v>
      </c>
      <c r="AC1" s="2330"/>
      <c r="AD1" s="2330"/>
      <c r="AE1" s="2330"/>
      <c r="AF1" s="2330"/>
      <c r="AG1" s="963"/>
      <c r="AH1" s="963"/>
      <c r="AI1" s="2331" t="s">
        <v>1681</v>
      </c>
      <c r="AJ1" s="2331"/>
      <c r="AK1" s="259"/>
      <c r="AL1" s="963"/>
      <c r="AM1" s="963"/>
      <c r="AN1" s="963"/>
      <c r="AO1" s="963"/>
      <c r="AP1" s="2332" t="s">
        <v>933</v>
      </c>
      <c r="AQ1" s="2332"/>
      <c r="AR1" s="2332"/>
      <c r="AS1" s="2332"/>
      <c r="AT1" s="2330" t="s">
        <v>934</v>
      </c>
      <c r="AU1" s="2330"/>
      <c r="AV1" s="2330"/>
      <c r="AW1" s="2330"/>
      <c r="AX1" s="2330"/>
      <c r="AY1" s="963"/>
      <c r="AZ1" s="963"/>
      <c r="BA1" s="2332" t="s">
        <v>1681</v>
      </c>
      <c r="BB1" s="2333"/>
      <c r="BC1" s="963"/>
      <c r="BD1" s="963"/>
      <c r="BE1" s="963"/>
      <c r="BF1" s="963"/>
      <c r="BG1" s="963"/>
      <c r="BH1" s="2332" t="s">
        <v>933</v>
      </c>
      <c r="BI1" s="2332"/>
      <c r="BJ1" s="2332"/>
      <c r="BK1" s="2332"/>
      <c r="BL1" s="2330" t="s">
        <v>934</v>
      </c>
      <c r="BM1" s="2330"/>
      <c r="BN1" s="2330"/>
      <c r="BO1" s="2330"/>
      <c r="BP1" s="2330"/>
      <c r="BQ1" s="963"/>
      <c r="BR1" s="2332" t="s">
        <v>1142</v>
      </c>
      <c r="BS1" s="2332"/>
      <c r="BT1" s="2332"/>
    </row>
    <row r="2" spans="1:72" s="108" customFormat="1" ht="12.75" customHeight="1">
      <c r="A2" s="1099"/>
      <c r="B2" s="1435"/>
      <c r="C2" s="1099"/>
      <c r="D2" s="1099"/>
      <c r="E2" s="1099"/>
      <c r="F2" s="1099"/>
      <c r="G2" s="1099"/>
      <c r="H2" s="1099"/>
      <c r="I2" s="1099"/>
      <c r="J2" s="1100"/>
      <c r="K2" s="1100"/>
      <c r="L2" s="1100"/>
      <c r="M2" s="1100"/>
      <c r="N2" s="1100"/>
      <c r="O2" s="1101"/>
      <c r="P2" s="1102"/>
      <c r="Q2" s="1102"/>
      <c r="R2" s="1103" t="s">
        <v>1682</v>
      </c>
      <c r="S2" s="1104"/>
      <c r="T2" s="1104"/>
      <c r="U2" s="1104"/>
      <c r="V2" s="1104"/>
      <c r="W2" s="1104"/>
      <c r="X2" s="1101"/>
      <c r="Y2" s="1105"/>
      <c r="Z2" s="1105"/>
      <c r="AA2" s="1105"/>
      <c r="AB2" s="1100"/>
      <c r="AC2" s="1100"/>
      <c r="AD2" s="1100"/>
      <c r="AE2" s="1100"/>
      <c r="AF2" s="1100"/>
      <c r="AG2" s="1101"/>
      <c r="AH2" s="1101"/>
      <c r="AI2" s="1102"/>
      <c r="AJ2" s="1103" t="s">
        <v>1683</v>
      </c>
      <c r="AK2" s="1106"/>
      <c r="AL2" s="1101"/>
      <c r="AM2" s="1101"/>
      <c r="AN2" s="1101"/>
      <c r="AO2" s="1101"/>
      <c r="AP2" s="1105"/>
      <c r="AQ2" s="1105"/>
      <c r="AR2" s="1105"/>
      <c r="AS2" s="1105"/>
      <c r="AT2" s="1100"/>
      <c r="AU2" s="1100"/>
      <c r="AV2" s="1100"/>
      <c r="AW2" s="1100"/>
      <c r="AX2" s="1100"/>
      <c r="AY2" s="1101"/>
      <c r="AZ2" s="1101"/>
      <c r="BA2" s="1105"/>
      <c r="BB2" s="1107" t="s">
        <v>24</v>
      </c>
      <c r="BC2" s="1101"/>
      <c r="BD2" s="1101"/>
      <c r="BE2" s="1101"/>
      <c r="BF2" s="1101"/>
      <c r="BG2" s="1101"/>
      <c r="BH2" s="1105"/>
      <c r="BI2" s="1105"/>
      <c r="BJ2" s="1105"/>
      <c r="BK2" s="1105"/>
      <c r="BL2" s="1100"/>
      <c r="BM2" s="1100"/>
      <c r="BN2" s="1100"/>
      <c r="BO2" s="1100"/>
      <c r="BP2" s="1100"/>
      <c r="BQ2" s="1101"/>
      <c r="BR2" s="1105"/>
      <c r="BS2" s="1105"/>
      <c r="BT2" s="1107" t="s">
        <v>24</v>
      </c>
    </row>
    <row r="3" spans="1:72" s="223" customFormat="1" ht="17.25" customHeight="1">
      <c r="A3" s="2327" t="s">
        <v>1684</v>
      </c>
      <c r="B3" s="2327" t="s">
        <v>1685</v>
      </c>
      <c r="C3" s="2327" t="s">
        <v>1686</v>
      </c>
      <c r="D3" s="2324" t="s">
        <v>1687</v>
      </c>
      <c r="E3" s="2324" t="s">
        <v>1688</v>
      </c>
      <c r="F3" s="2324" t="s">
        <v>1989</v>
      </c>
      <c r="G3" s="2324" t="s">
        <v>1689</v>
      </c>
      <c r="H3" s="2324" t="s">
        <v>1951</v>
      </c>
      <c r="I3" s="2324" t="s">
        <v>1690</v>
      </c>
      <c r="J3" s="2327" t="s">
        <v>1684</v>
      </c>
      <c r="K3" s="2327" t="s">
        <v>1685</v>
      </c>
      <c r="L3" s="2327" t="s">
        <v>1686</v>
      </c>
      <c r="M3" s="2324" t="s">
        <v>1687</v>
      </c>
      <c r="N3" s="2324" t="s">
        <v>1688</v>
      </c>
      <c r="O3" s="2324" t="s">
        <v>1989</v>
      </c>
      <c r="P3" s="2324" t="s">
        <v>1691</v>
      </c>
      <c r="Q3" s="2324" t="s">
        <v>1951</v>
      </c>
      <c r="R3" s="2324" t="s">
        <v>1690</v>
      </c>
      <c r="S3" s="2327" t="s">
        <v>1684</v>
      </c>
      <c r="T3" s="2327" t="s">
        <v>1685</v>
      </c>
      <c r="U3" s="2327" t="s">
        <v>1686</v>
      </c>
      <c r="V3" s="2324" t="s">
        <v>1687</v>
      </c>
      <c r="W3" s="2324" t="s">
        <v>1688</v>
      </c>
      <c r="X3" s="2324" t="s">
        <v>2117</v>
      </c>
      <c r="Y3" s="2324" t="s">
        <v>1689</v>
      </c>
      <c r="Z3" s="2324" t="s">
        <v>1951</v>
      </c>
      <c r="AA3" s="2324" t="s">
        <v>1690</v>
      </c>
      <c r="AB3" s="2327" t="s">
        <v>1684</v>
      </c>
      <c r="AC3" s="2327" t="s">
        <v>1685</v>
      </c>
      <c r="AD3" s="2327" t="s">
        <v>1686</v>
      </c>
      <c r="AE3" s="2324" t="s">
        <v>1687</v>
      </c>
      <c r="AF3" s="2324" t="s">
        <v>1688</v>
      </c>
      <c r="AG3" s="2324" t="s">
        <v>1989</v>
      </c>
      <c r="AH3" s="2324" t="s">
        <v>1689</v>
      </c>
      <c r="AI3" s="2324" t="s">
        <v>1951</v>
      </c>
      <c r="AJ3" s="2324" t="s">
        <v>1690</v>
      </c>
      <c r="AK3" s="2327" t="s">
        <v>1684</v>
      </c>
      <c r="AL3" s="2327" t="s">
        <v>1685</v>
      </c>
      <c r="AM3" s="2327" t="s">
        <v>1686</v>
      </c>
      <c r="AN3" s="2324" t="s">
        <v>1687</v>
      </c>
      <c r="AO3" s="2324" t="s">
        <v>1688</v>
      </c>
      <c r="AP3" s="2324" t="s">
        <v>1989</v>
      </c>
      <c r="AQ3" s="2324" t="s">
        <v>1689</v>
      </c>
      <c r="AR3" s="2324" t="s">
        <v>2118</v>
      </c>
      <c r="AS3" s="2324" t="s">
        <v>1690</v>
      </c>
      <c r="AT3" s="2327" t="s">
        <v>1684</v>
      </c>
      <c r="AU3" s="2327" t="s">
        <v>1685</v>
      </c>
      <c r="AV3" s="2327" t="s">
        <v>1686</v>
      </c>
      <c r="AW3" s="2324" t="s">
        <v>1687</v>
      </c>
      <c r="AX3" s="2324" t="s">
        <v>1688</v>
      </c>
      <c r="AY3" s="2324" t="s">
        <v>2117</v>
      </c>
      <c r="AZ3" s="2324" t="s">
        <v>1689</v>
      </c>
      <c r="BA3" s="2324" t="s">
        <v>2118</v>
      </c>
      <c r="BB3" s="2324" t="s">
        <v>1690</v>
      </c>
      <c r="BC3" s="2327" t="s">
        <v>1684</v>
      </c>
      <c r="BD3" s="2327" t="s">
        <v>1685</v>
      </c>
      <c r="BE3" s="2327" t="s">
        <v>1686</v>
      </c>
      <c r="BF3" s="2324" t="s">
        <v>1687</v>
      </c>
      <c r="BG3" s="2324" t="s">
        <v>1688</v>
      </c>
      <c r="BH3" s="2326" t="s">
        <v>2119</v>
      </c>
      <c r="BI3" s="2324" t="s">
        <v>1689</v>
      </c>
      <c r="BJ3" s="2324" t="s">
        <v>2120</v>
      </c>
      <c r="BK3" s="2324" t="s">
        <v>1690</v>
      </c>
      <c r="BL3" s="2336" t="s">
        <v>1684</v>
      </c>
      <c r="BM3" s="2336" t="s">
        <v>1952</v>
      </c>
      <c r="BN3" s="2327" t="s">
        <v>1686</v>
      </c>
      <c r="BO3" s="2324" t="s">
        <v>1687</v>
      </c>
      <c r="BP3" s="2324" t="s">
        <v>1688</v>
      </c>
      <c r="BQ3" s="2324" t="s">
        <v>1989</v>
      </c>
      <c r="BR3" s="2324" t="s">
        <v>1689</v>
      </c>
      <c r="BS3" s="2324" t="s">
        <v>1951</v>
      </c>
      <c r="BT3" s="2324" t="s">
        <v>1690</v>
      </c>
    </row>
    <row r="4" spans="1:72" s="68" customFormat="1" ht="27.75" customHeight="1">
      <c r="A4" s="2328"/>
      <c r="B4" s="2328"/>
      <c r="C4" s="2328"/>
      <c r="D4" s="2326"/>
      <c r="E4" s="2326"/>
      <c r="F4" s="2326"/>
      <c r="G4" s="2325"/>
      <c r="H4" s="2325"/>
      <c r="I4" s="2325"/>
      <c r="J4" s="2328"/>
      <c r="K4" s="2328"/>
      <c r="L4" s="2328"/>
      <c r="M4" s="2326"/>
      <c r="N4" s="2326"/>
      <c r="O4" s="2326"/>
      <c r="P4" s="2325"/>
      <c r="Q4" s="2325"/>
      <c r="R4" s="2325"/>
      <c r="S4" s="2328"/>
      <c r="T4" s="2328"/>
      <c r="U4" s="2328"/>
      <c r="V4" s="2326"/>
      <c r="W4" s="2326"/>
      <c r="X4" s="2326"/>
      <c r="Y4" s="2325"/>
      <c r="Z4" s="2325"/>
      <c r="AA4" s="2325"/>
      <c r="AB4" s="2328"/>
      <c r="AC4" s="2328"/>
      <c r="AD4" s="2328"/>
      <c r="AE4" s="2326"/>
      <c r="AF4" s="2326"/>
      <c r="AG4" s="2326"/>
      <c r="AH4" s="2325"/>
      <c r="AI4" s="2325"/>
      <c r="AJ4" s="2325"/>
      <c r="AK4" s="2328"/>
      <c r="AL4" s="2328"/>
      <c r="AM4" s="2328"/>
      <c r="AN4" s="2326"/>
      <c r="AO4" s="2326"/>
      <c r="AP4" s="2326"/>
      <c r="AQ4" s="2325"/>
      <c r="AR4" s="2325"/>
      <c r="AS4" s="2325"/>
      <c r="AT4" s="2328"/>
      <c r="AU4" s="2328"/>
      <c r="AV4" s="2328"/>
      <c r="AW4" s="2326"/>
      <c r="AX4" s="2326"/>
      <c r="AY4" s="2326"/>
      <c r="AZ4" s="2325"/>
      <c r="BA4" s="2325"/>
      <c r="BB4" s="2325"/>
      <c r="BC4" s="2328"/>
      <c r="BD4" s="2328"/>
      <c r="BE4" s="2328"/>
      <c r="BF4" s="2326"/>
      <c r="BG4" s="2326"/>
      <c r="BH4" s="2326"/>
      <c r="BI4" s="2325"/>
      <c r="BJ4" s="2325"/>
      <c r="BK4" s="2325"/>
      <c r="BL4" s="2337"/>
      <c r="BM4" s="2337"/>
      <c r="BN4" s="2328"/>
      <c r="BO4" s="2326"/>
      <c r="BP4" s="2326"/>
      <c r="BQ4" s="2326"/>
      <c r="BR4" s="2325"/>
      <c r="BS4" s="2325"/>
      <c r="BT4" s="2325"/>
    </row>
    <row r="5" spans="1:72" s="265" customFormat="1" ht="12.95" customHeight="1">
      <c r="A5" s="2335" t="s">
        <v>1692</v>
      </c>
      <c r="B5" s="2334"/>
      <c r="C5" s="2334"/>
      <c r="D5" s="2334"/>
      <c r="E5" s="2334"/>
      <c r="F5" s="981"/>
      <c r="G5" s="981"/>
      <c r="H5" s="981"/>
      <c r="I5" s="981"/>
      <c r="J5" s="748">
        <v>41</v>
      </c>
      <c r="K5" s="845" t="s">
        <v>1872</v>
      </c>
      <c r="L5" s="845">
        <v>10</v>
      </c>
      <c r="M5" s="845" t="s">
        <v>1873</v>
      </c>
      <c r="N5" s="845" t="s">
        <v>1874</v>
      </c>
      <c r="O5" s="877">
        <v>8.39</v>
      </c>
      <c r="P5" s="845" t="s">
        <v>1875</v>
      </c>
      <c r="Q5" s="877">
        <v>6.99</v>
      </c>
      <c r="R5" s="877">
        <v>3000</v>
      </c>
      <c r="S5" s="748">
        <v>82</v>
      </c>
      <c r="T5" s="845" t="s">
        <v>1922</v>
      </c>
      <c r="U5" s="845">
        <v>15</v>
      </c>
      <c r="V5" s="845" t="s">
        <v>688</v>
      </c>
      <c r="W5" s="845" t="s">
        <v>689</v>
      </c>
      <c r="X5" s="877">
        <v>8.77</v>
      </c>
      <c r="Y5" s="845" t="s">
        <v>298</v>
      </c>
      <c r="Z5" s="877">
        <v>8.77</v>
      </c>
      <c r="AA5" s="877">
        <v>80</v>
      </c>
      <c r="AB5" s="748">
        <v>123</v>
      </c>
      <c r="AC5" s="877" t="s">
        <v>1929</v>
      </c>
      <c r="AD5" s="845">
        <v>15</v>
      </c>
      <c r="AE5" s="845" t="s">
        <v>1071</v>
      </c>
      <c r="AF5" s="845" t="s">
        <v>1073</v>
      </c>
      <c r="AG5" s="877">
        <v>12.2</v>
      </c>
      <c r="AH5" s="845" t="s">
        <v>298</v>
      </c>
      <c r="AI5" s="877">
        <v>12.2</v>
      </c>
      <c r="AJ5" s="877">
        <v>150</v>
      </c>
      <c r="AK5" s="748">
        <v>164</v>
      </c>
      <c r="AL5" s="845" t="s">
        <v>1902</v>
      </c>
      <c r="AM5" s="845">
        <v>20</v>
      </c>
      <c r="AN5" s="845" t="s">
        <v>2</v>
      </c>
      <c r="AO5" s="845" t="s">
        <v>3</v>
      </c>
      <c r="AP5" s="877">
        <v>12.990000000000002</v>
      </c>
      <c r="AQ5" s="845" t="s">
        <v>298</v>
      </c>
      <c r="AR5" s="877">
        <v>12.990000000000002</v>
      </c>
      <c r="AS5" s="877">
        <v>125</v>
      </c>
      <c r="AT5" s="748">
        <v>205</v>
      </c>
      <c r="AU5" s="845" t="s">
        <v>1903</v>
      </c>
      <c r="AV5" s="845">
        <v>20</v>
      </c>
      <c r="AW5" s="845" t="s">
        <v>1904</v>
      </c>
      <c r="AX5" s="845" t="s">
        <v>1905</v>
      </c>
      <c r="AY5" s="877">
        <v>12.16</v>
      </c>
      <c r="AZ5" s="845" t="s">
        <v>298</v>
      </c>
      <c r="BA5" s="877">
        <v>12.16</v>
      </c>
      <c r="BB5" s="877">
        <v>100</v>
      </c>
      <c r="BC5" s="2334" t="s">
        <v>2103</v>
      </c>
      <c r="BD5" s="2334"/>
      <c r="BE5" s="2334"/>
      <c r="BF5" s="2334"/>
      <c r="BG5" s="2334"/>
      <c r="BH5" s="877"/>
      <c r="BI5" s="845"/>
      <c r="BJ5" s="559"/>
      <c r="BK5" s="745"/>
      <c r="BL5" s="2335" t="s">
        <v>2121</v>
      </c>
      <c r="BM5" s="2334"/>
      <c r="BN5" s="2334"/>
      <c r="BO5" s="2334"/>
      <c r="BP5" s="2334"/>
      <c r="BQ5" s="981"/>
      <c r="BR5" s="981"/>
      <c r="BS5" s="981"/>
      <c r="BT5" s="981"/>
    </row>
    <row r="6" spans="1:72" s="265" customFormat="1" ht="13.35" customHeight="1">
      <c r="A6" s="267">
        <v>1</v>
      </c>
      <c r="B6" s="895" t="s">
        <v>2230</v>
      </c>
      <c r="C6" s="819">
        <v>2</v>
      </c>
      <c r="D6" s="819" t="s">
        <v>2231</v>
      </c>
      <c r="E6" s="819" t="s">
        <v>2232</v>
      </c>
      <c r="F6" s="670">
        <v>4.75</v>
      </c>
      <c r="G6" s="819" t="s">
        <v>2264</v>
      </c>
      <c r="H6" s="670">
        <v>6.14</v>
      </c>
      <c r="I6" s="670">
        <v>4000</v>
      </c>
      <c r="J6" s="224">
        <v>42</v>
      </c>
      <c r="K6" s="819" t="s">
        <v>1883</v>
      </c>
      <c r="L6" s="819">
        <v>10</v>
      </c>
      <c r="M6" s="819" t="s">
        <v>1246</v>
      </c>
      <c r="N6" s="819" t="s">
        <v>1247</v>
      </c>
      <c r="O6" s="670">
        <v>7.39</v>
      </c>
      <c r="P6" s="819" t="s">
        <v>987</v>
      </c>
      <c r="Q6" s="670">
        <v>7.29</v>
      </c>
      <c r="R6" s="670">
        <v>2600</v>
      </c>
      <c r="S6" s="224">
        <v>83</v>
      </c>
      <c r="T6" s="819" t="s">
        <v>1928</v>
      </c>
      <c r="U6" s="819">
        <v>15</v>
      </c>
      <c r="V6" s="819" t="s">
        <v>690</v>
      </c>
      <c r="W6" s="819" t="s">
        <v>691</v>
      </c>
      <c r="X6" s="670">
        <v>8.8000000000000007</v>
      </c>
      <c r="Y6" s="819" t="s">
        <v>298</v>
      </c>
      <c r="Z6" s="670">
        <v>8.8000000000000007</v>
      </c>
      <c r="AA6" s="670">
        <v>75</v>
      </c>
      <c r="AB6" s="224">
        <v>124</v>
      </c>
      <c r="AC6" s="670" t="s">
        <v>1936</v>
      </c>
      <c r="AD6" s="819">
        <v>15</v>
      </c>
      <c r="AE6" s="819" t="s">
        <v>1074</v>
      </c>
      <c r="AF6" s="819" t="s">
        <v>1076</v>
      </c>
      <c r="AG6" s="670">
        <v>12.1</v>
      </c>
      <c r="AH6" s="819" t="s">
        <v>298</v>
      </c>
      <c r="AI6" s="670">
        <v>12.1</v>
      </c>
      <c r="AJ6" s="670">
        <v>150</v>
      </c>
      <c r="AK6" s="224">
        <v>165</v>
      </c>
      <c r="AL6" s="819" t="s">
        <v>1910</v>
      </c>
      <c r="AM6" s="819">
        <v>20</v>
      </c>
      <c r="AN6" s="670" t="s">
        <v>4</v>
      </c>
      <c r="AO6" s="819" t="s">
        <v>5</v>
      </c>
      <c r="AP6" s="670">
        <v>12.98</v>
      </c>
      <c r="AQ6" s="819" t="s">
        <v>298</v>
      </c>
      <c r="AR6" s="670">
        <v>12.98</v>
      </c>
      <c r="AS6" s="670">
        <v>150</v>
      </c>
      <c r="AT6" s="224">
        <v>206</v>
      </c>
      <c r="AU6" s="819" t="s">
        <v>1911</v>
      </c>
      <c r="AV6" s="819">
        <v>20</v>
      </c>
      <c r="AW6" s="819" t="s">
        <v>1912</v>
      </c>
      <c r="AX6" s="819" t="s">
        <v>1913</v>
      </c>
      <c r="AY6" s="670">
        <v>12.18</v>
      </c>
      <c r="AZ6" s="819" t="s">
        <v>298</v>
      </c>
      <c r="BA6" s="670">
        <v>12.18</v>
      </c>
      <c r="BB6" s="670">
        <v>100</v>
      </c>
      <c r="BC6" s="819">
        <v>1</v>
      </c>
      <c r="BD6" s="910" t="s">
        <v>2104</v>
      </c>
      <c r="BE6" s="965">
        <v>5</v>
      </c>
      <c r="BF6" s="1650" t="s">
        <v>2122</v>
      </c>
      <c r="BG6" s="819" t="s">
        <v>2123</v>
      </c>
      <c r="BH6" s="819">
        <v>4.6900000000000004</v>
      </c>
      <c r="BI6" s="876" t="s">
        <v>2124</v>
      </c>
      <c r="BJ6" s="876">
        <v>4.6900000000000004</v>
      </c>
      <c r="BK6" s="810">
        <v>8000</v>
      </c>
      <c r="BL6" s="224">
        <v>1</v>
      </c>
      <c r="BM6" s="1014" t="s">
        <v>2406</v>
      </c>
      <c r="BN6" s="965">
        <v>3</v>
      </c>
      <c r="BO6" s="910" t="s">
        <v>2407</v>
      </c>
      <c r="BP6" s="910" t="s">
        <v>2408</v>
      </c>
      <c r="BQ6" s="1443" t="s">
        <v>2001</v>
      </c>
      <c r="BR6" s="807" t="s">
        <v>298</v>
      </c>
      <c r="BS6" s="1443" t="s">
        <v>2001</v>
      </c>
      <c r="BT6" s="558">
        <v>4.2300000000000004</v>
      </c>
    </row>
    <row r="7" spans="1:72" s="265" customFormat="1" ht="13.35" customHeight="1">
      <c r="A7" s="309">
        <v>2</v>
      </c>
      <c r="B7" s="897" t="s">
        <v>2288</v>
      </c>
      <c r="C7" s="845">
        <v>2</v>
      </c>
      <c r="D7" s="845" t="s">
        <v>2286</v>
      </c>
      <c r="E7" s="845" t="s">
        <v>2287</v>
      </c>
      <c r="F7" s="877">
        <v>7.21</v>
      </c>
      <c r="G7" s="845" t="s">
        <v>2354</v>
      </c>
      <c r="H7" s="877">
        <v>7.5</v>
      </c>
      <c r="I7" s="877">
        <v>4500</v>
      </c>
      <c r="J7" s="748">
        <v>43</v>
      </c>
      <c r="K7" s="845" t="s">
        <v>1891</v>
      </c>
      <c r="L7" s="845">
        <v>10</v>
      </c>
      <c r="M7" s="845" t="s">
        <v>1265</v>
      </c>
      <c r="N7" s="845" t="s">
        <v>1266</v>
      </c>
      <c r="O7" s="877">
        <v>7.59</v>
      </c>
      <c r="P7" s="845" t="s">
        <v>1288</v>
      </c>
      <c r="Q7" s="877">
        <v>6.89</v>
      </c>
      <c r="R7" s="877">
        <v>2700</v>
      </c>
      <c r="S7" s="748">
        <v>84</v>
      </c>
      <c r="T7" s="845" t="s">
        <v>1935</v>
      </c>
      <c r="U7" s="845">
        <v>15</v>
      </c>
      <c r="V7" s="892" t="s">
        <v>692</v>
      </c>
      <c r="W7" s="892" t="s">
        <v>693</v>
      </c>
      <c r="X7" s="877">
        <v>8.8000000000000007</v>
      </c>
      <c r="Y7" s="845" t="s">
        <v>298</v>
      </c>
      <c r="Z7" s="745">
        <v>8.8000000000000007</v>
      </c>
      <c r="AA7" s="877">
        <v>75</v>
      </c>
      <c r="AB7" s="748">
        <v>125</v>
      </c>
      <c r="AC7" s="877" t="s">
        <v>1945</v>
      </c>
      <c r="AD7" s="845">
        <v>15</v>
      </c>
      <c r="AE7" s="845" t="s">
        <v>1080</v>
      </c>
      <c r="AF7" s="845" t="s">
        <v>1081</v>
      </c>
      <c r="AG7" s="877">
        <v>12</v>
      </c>
      <c r="AH7" s="845" t="s">
        <v>298</v>
      </c>
      <c r="AI7" s="877">
        <v>12</v>
      </c>
      <c r="AJ7" s="877">
        <v>350</v>
      </c>
      <c r="AK7" s="748">
        <v>166</v>
      </c>
      <c r="AL7" s="845" t="s">
        <v>1917</v>
      </c>
      <c r="AM7" s="845">
        <v>20</v>
      </c>
      <c r="AN7" s="877" t="s">
        <v>6</v>
      </c>
      <c r="AO7" s="845" t="s">
        <v>7</v>
      </c>
      <c r="AP7" s="877">
        <v>11.48</v>
      </c>
      <c r="AQ7" s="845" t="s">
        <v>298</v>
      </c>
      <c r="AR7" s="877">
        <v>11.48</v>
      </c>
      <c r="AS7" s="877">
        <v>150</v>
      </c>
      <c r="AT7" s="748">
        <v>207</v>
      </c>
      <c r="AU7" s="845" t="s">
        <v>1918</v>
      </c>
      <c r="AV7" s="845">
        <v>20</v>
      </c>
      <c r="AW7" s="877" t="s">
        <v>1919</v>
      </c>
      <c r="AX7" s="845" t="s">
        <v>1920</v>
      </c>
      <c r="AY7" s="877">
        <v>12.28</v>
      </c>
      <c r="AZ7" s="845" t="s">
        <v>298</v>
      </c>
      <c r="BA7" s="877">
        <v>12.28</v>
      </c>
      <c r="BB7" s="877">
        <v>100</v>
      </c>
      <c r="BC7" s="309">
        <v>2</v>
      </c>
      <c r="BD7" s="863" t="s">
        <v>2213</v>
      </c>
      <c r="BE7" s="863">
        <v>5</v>
      </c>
      <c r="BF7" s="845" t="s">
        <v>2214</v>
      </c>
      <c r="BG7" s="845" t="s">
        <v>2215</v>
      </c>
      <c r="BH7" s="877">
        <v>4.6500000000000004</v>
      </c>
      <c r="BI7" s="845" t="s">
        <v>298</v>
      </c>
      <c r="BJ7" s="559" t="s">
        <v>298</v>
      </c>
      <c r="BK7" s="745">
        <v>5000</v>
      </c>
      <c r="BL7" s="748">
        <v>2</v>
      </c>
      <c r="BM7" s="1015" t="s">
        <v>2004</v>
      </c>
      <c r="BN7" s="966">
        <v>7</v>
      </c>
      <c r="BO7" s="909" t="s">
        <v>2002</v>
      </c>
      <c r="BP7" s="845" t="s">
        <v>2003</v>
      </c>
      <c r="BQ7" s="1446">
        <v>5</v>
      </c>
      <c r="BR7" s="863" t="s">
        <v>298</v>
      </c>
      <c r="BS7" s="559">
        <v>5</v>
      </c>
      <c r="BT7" s="559">
        <v>1438.54</v>
      </c>
    </row>
    <row r="8" spans="1:72" s="265" customFormat="1" ht="13.35" customHeight="1" thickBot="1">
      <c r="A8" s="267">
        <v>3</v>
      </c>
      <c r="B8" s="895" t="s">
        <v>2301</v>
      </c>
      <c r="C8" s="819">
        <v>2</v>
      </c>
      <c r="D8" s="819" t="s">
        <v>2302</v>
      </c>
      <c r="E8" s="819" t="s">
        <v>2303</v>
      </c>
      <c r="F8" s="670">
        <v>7.4</v>
      </c>
      <c r="G8" s="819" t="s">
        <v>2358</v>
      </c>
      <c r="H8" s="670">
        <v>7.5</v>
      </c>
      <c r="I8" s="670">
        <v>4000</v>
      </c>
      <c r="J8" s="224">
        <v>44</v>
      </c>
      <c r="K8" s="876" t="s">
        <v>1898</v>
      </c>
      <c r="L8" s="876">
        <v>10</v>
      </c>
      <c r="M8" s="876" t="s">
        <v>1291</v>
      </c>
      <c r="N8" s="876" t="s">
        <v>1034</v>
      </c>
      <c r="O8" s="810">
        <v>6.77</v>
      </c>
      <c r="P8" s="876" t="s">
        <v>1391</v>
      </c>
      <c r="Q8" s="810">
        <v>6.96</v>
      </c>
      <c r="R8" s="810">
        <v>2600</v>
      </c>
      <c r="S8" s="224">
        <v>85</v>
      </c>
      <c r="T8" s="819" t="s">
        <v>1942</v>
      </c>
      <c r="U8" s="819">
        <v>15</v>
      </c>
      <c r="V8" s="819" t="s">
        <v>1943</v>
      </c>
      <c r="W8" s="819" t="s">
        <v>1944</v>
      </c>
      <c r="X8" s="670">
        <v>8.85</v>
      </c>
      <c r="Y8" s="819" t="s">
        <v>298</v>
      </c>
      <c r="Z8" s="670">
        <v>8.85</v>
      </c>
      <c r="AA8" s="670">
        <v>140</v>
      </c>
      <c r="AB8" s="224">
        <v>126</v>
      </c>
      <c r="AC8" s="670" t="s">
        <v>1696</v>
      </c>
      <c r="AD8" s="819">
        <v>15</v>
      </c>
      <c r="AE8" s="819" t="s">
        <v>1082</v>
      </c>
      <c r="AF8" s="819" t="s">
        <v>1083</v>
      </c>
      <c r="AG8" s="670">
        <v>11.97</v>
      </c>
      <c r="AH8" s="819" t="s">
        <v>298</v>
      </c>
      <c r="AI8" s="670">
        <v>11.97</v>
      </c>
      <c r="AJ8" s="670">
        <v>350</v>
      </c>
      <c r="AK8" s="224">
        <v>167</v>
      </c>
      <c r="AL8" s="819" t="s">
        <v>1923</v>
      </c>
      <c r="AM8" s="819">
        <v>20</v>
      </c>
      <c r="AN8" s="819" t="s">
        <v>8</v>
      </c>
      <c r="AO8" s="819" t="s">
        <v>9</v>
      </c>
      <c r="AP8" s="670">
        <v>11.09</v>
      </c>
      <c r="AQ8" s="819" t="s">
        <v>298</v>
      </c>
      <c r="AR8" s="670">
        <v>11.09</v>
      </c>
      <c r="AS8" s="670">
        <v>133.19999999999999</v>
      </c>
      <c r="AT8" s="224">
        <v>208</v>
      </c>
      <c r="AU8" s="819" t="s">
        <v>1924</v>
      </c>
      <c r="AV8" s="819">
        <v>20</v>
      </c>
      <c r="AW8" s="819" t="s">
        <v>1925</v>
      </c>
      <c r="AX8" s="819" t="s">
        <v>1926</v>
      </c>
      <c r="AY8" s="670">
        <v>12.38</v>
      </c>
      <c r="AZ8" s="819" t="s">
        <v>298</v>
      </c>
      <c r="BA8" s="670">
        <v>12.38</v>
      </c>
      <c r="BB8" s="670">
        <v>100</v>
      </c>
      <c r="BC8" s="1252">
        <v>3</v>
      </c>
      <c r="BD8" s="1445" t="s">
        <v>2277</v>
      </c>
      <c r="BE8" s="1445">
        <v>5</v>
      </c>
      <c r="BF8" s="1445" t="s">
        <v>2258</v>
      </c>
      <c r="BG8" s="1445" t="s">
        <v>2262</v>
      </c>
      <c r="BH8" s="1445">
        <v>4.75</v>
      </c>
      <c r="BI8" s="1445" t="s">
        <v>298</v>
      </c>
      <c r="BJ8" s="1445" t="s">
        <v>298</v>
      </c>
      <c r="BK8" s="1086">
        <v>5000</v>
      </c>
      <c r="BL8" s="224">
        <v>3</v>
      </c>
      <c r="BM8" s="1014" t="s">
        <v>2004</v>
      </c>
      <c r="BN8" s="965">
        <v>7</v>
      </c>
      <c r="BO8" s="910" t="s">
        <v>2002</v>
      </c>
      <c r="BP8" s="819" t="s">
        <v>2003</v>
      </c>
      <c r="BQ8" s="1443" t="s">
        <v>2001</v>
      </c>
      <c r="BR8" s="807" t="s">
        <v>298</v>
      </c>
      <c r="BS8" s="1444" t="s">
        <v>2001</v>
      </c>
      <c r="BT8" s="558">
        <v>554</v>
      </c>
    </row>
    <row r="9" spans="1:72" s="265" customFormat="1" ht="13.35" customHeight="1">
      <c r="A9" s="309">
        <v>4</v>
      </c>
      <c r="B9" s="897" t="s">
        <v>2374</v>
      </c>
      <c r="C9" s="845">
        <v>2</v>
      </c>
      <c r="D9" s="845" t="s">
        <v>2375</v>
      </c>
      <c r="E9" s="845" t="s">
        <v>2376</v>
      </c>
      <c r="F9" s="877">
        <v>7.45</v>
      </c>
      <c r="G9" s="845" t="s">
        <v>2398</v>
      </c>
      <c r="H9" s="877">
        <v>7.55</v>
      </c>
      <c r="I9" s="877">
        <v>4500</v>
      </c>
      <c r="J9" s="748">
        <v>45</v>
      </c>
      <c r="K9" s="845" t="s">
        <v>1906</v>
      </c>
      <c r="L9" s="845">
        <v>10</v>
      </c>
      <c r="M9" s="877" t="s">
        <v>1459</v>
      </c>
      <c r="N9" s="877" t="s">
        <v>1460</v>
      </c>
      <c r="O9" s="877">
        <v>7</v>
      </c>
      <c r="P9" s="845" t="s">
        <v>1496</v>
      </c>
      <c r="Q9" s="877">
        <v>7.11</v>
      </c>
      <c r="R9" s="877">
        <v>2800</v>
      </c>
      <c r="S9" s="748">
        <v>86</v>
      </c>
      <c r="T9" s="845" t="s">
        <v>1695</v>
      </c>
      <c r="U9" s="845">
        <v>15</v>
      </c>
      <c r="V9" s="845" t="s">
        <v>694</v>
      </c>
      <c r="W9" s="845" t="s">
        <v>695</v>
      </c>
      <c r="X9" s="877">
        <v>8.86</v>
      </c>
      <c r="Y9" s="845" t="s">
        <v>298</v>
      </c>
      <c r="Z9" s="877">
        <v>8.86</v>
      </c>
      <c r="AA9" s="877">
        <v>140</v>
      </c>
      <c r="AB9" s="748">
        <v>127</v>
      </c>
      <c r="AC9" s="745" t="s">
        <v>1703</v>
      </c>
      <c r="AD9" s="892">
        <v>15</v>
      </c>
      <c r="AE9" s="892" t="s">
        <v>1087</v>
      </c>
      <c r="AF9" s="892" t="s">
        <v>1091</v>
      </c>
      <c r="AG9" s="745">
        <v>11.97</v>
      </c>
      <c r="AH9" s="845" t="s">
        <v>298</v>
      </c>
      <c r="AI9" s="745">
        <v>11.97</v>
      </c>
      <c r="AJ9" s="745">
        <v>400</v>
      </c>
      <c r="AK9" s="748">
        <v>168</v>
      </c>
      <c r="AL9" s="892" t="s">
        <v>1930</v>
      </c>
      <c r="AM9" s="892">
        <v>20</v>
      </c>
      <c r="AN9" s="892" t="s">
        <v>10</v>
      </c>
      <c r="AO9" s="892" t="s">
        <v>11</v>
      </c>
      <c r="AP9" s="745">
        <v>10.07</v>
      </c>
      <c r="AQ9" s="845" t="s">
        <v>298</v>
      </c>
      <c r="AR9" s="745">
        <v>10.07</v>
      </c>
      <c r="AS9" s="745">
        <v>80</v>
      </c>
      <c r="AT9" s="748">
        <v>209</v>
      </c>
      <c r="AU9" s="892" t="s">
        <v>1931</v>
      </c>
      <c r="AV9" s="892">
        <v>20</v>
      </c>
      <c r="AW9" s="745" t="s">
        <v>1932</v>
      </c>
      <c r="AX9" s="892" t="s">
        <v>1933</v>
      </c>
      <c r="AY9" s="745">
        <v>12.48</v>
      </c>
      <c r="AZ9" s="845" t="s">
        <v>298</v>
      </c>
      <c r="BA9" s="745">
        <v>12.48</v>
      </c>
      <c r="BB9" s="745">
        <v>100</v>
      </c>
      <c r="BC9" s="377" t="s">
        <v>1182</v>
      </c>
      <c r="BD9" s="1110" t="s">
        <v>2779</v>
      </c>
      <c r="BE9" s="1110"/>
      <c r="BF9" s="1110"/>
      <c r="BG9" s="807"/>
      <c r="BH9" s="819"/>
      <c r="BI9" s="558"/>
      <c r="BJ9" s="810"/>
      <c r="BL9" s="748">
        <v>4</v>
      </c>
      <c r="BM9" s="1015" t="s">
        <v>2005</v>
      </c>
      <c r="BN9" s="966">
        <v>13</v>
      </c>
      <c r="BO9" s="909" t="s">
        <v>988</v>
      </c>
      <c r="BP9" s="845" t="s">
        <v>989</v>
      </c>
      <c r="BQ9" s="877">
        <v>5</v>
      </c>
      <c r="BR9" s="863" t="s">
        <v>298</v>
      </c>
      <c r="BS9" s="559">
        <v>5</v>
      </c>
      <c r="BT9" s="559">
        <v>214.17</v>
      </c>
    </row>
    <row r="10" spans="1:72" s="265" customFormat="1" ht="13.35" customHeight="1">
      <c r="A10" s="224">
        <v>5</v>
      </c>
      <c r="B10" s="807" t="s">
        <v>2409</v>
      </c>
      <c r="C10" s="876">
        <v>2</v>
      </c>
      <c r="D10" s="876" t="s">
        <v>2410</v>
      </c>
      <c r="E10" s="807" t="s">
        <v>2411</v>
      </c>
      <c r="F10" s="558">
        <v>8.1999999999999993</v>
      </c>
      <c r="G10" s="807" t="s">
        <v>2424</v>
      </c>
      <c r="H10" s="558">
        <v>8.1300000000000008</v>
      </c>
      <c r="I10" s="558">
        <v>6000</v>
      </c>
      <c r="J10" s="224">
        <v>46</v>
      </c>
      <c r="K10" s="819" t="s">
        <v>1914</v>
      </c>
      <c r="L10" s="819">
        <v>10</v>
      </c>
      <c r="M10" s="670" t="s">
        <v>1502</v>
      </c>
      <c r="N10" s="670" t="s">
        <v>1503</v>
      </c>
      <c r="O10" s="670">
        <v>7.5</v>
      </c>
      <c r="P10" s="819" t="s">
        <v>1589</v>
      </c>
      <c r="Q10" s="670">
        <v>7.6</v>
      </c>
      <c r="R10" s="670">
        <v>2800</v>
      </c>
      <c r="S10" s="224">
        <v>87</v>
      </c>
      <c r="T10" s="819" t="s">
        <v>1702</v>
      </c>
      <c r="U10" s="819">
        <v>15</v>
      </c>
      <c r="V10" s="819" t="s">
        <v>696</v>
      </c>
      <c r="W10" s="819" t="s">
        <v>697</v>
      </c>
      <c r="X10" s="670">
        <v>8.92</v>
      </c>
      <c r="Y10" s="819" t="s">
        <v>298</v>
      </c>
      <c r="Z10" s="670">
        <v>8.92</v>
      </c>
      <c r="AA10" s="670">
        <v>140</v>
      </c>
      <c r="AB10" s="224">
        <v>128</v>
      </c>
      <c r="AC10" s="819" t="s">
        <v>1712</v>
      </c>
      <c r="AD10" s="819">
        <v>15</v>
      </c>
      <c r="AE10" s="819" t="s">
        <v>1090</v>
      </c>
      <c r="AF10" s="819" t="s">
        <v>1092</v>
      </c>
      <c r="AG10" s="670">
        <v>11.97</v>
      </c>
      <c r="AH10" s="819" t="s">
        <v>298</v>
      </c>
      <c r="AI10" s="670">
        <v>11.97</v>
      </c>
      <c r="AJ10" s="810">
        <v>400</v>
      </c>
      <c r="AK10" s="224">
        <v>169</v>
      </c>
      <c r="AL10" s="819" t="s">
        <v>1937</v>
      </c>
      <c r="AM10" s="819">
        <v>20</v>
      </c>
      <c r="AN10" s="670" t="s">
        <v>12</v>
      </c>
      <c r="AO10" s="819" t="s">
        <v>13</v>
      </c>
      <c r="AP10" s="670">
        <v>8.9700000000000006</v>
      </c>
      <c r="AQ10" s="819" t="s">
        <v>298</v>
      </c>
      <c r="AR10" s="670">
        <v>8.9700000000000006</v>
      </c>
      <c r="AS10" s="810">
        <v>125</v>
      </c>
      <c r="AT10" s="224">
        <v>210</v>
      </c>
      <c r="AU10" s="819" t="s">
        <v>1938</v>
      </c>
      <c r="AV10" s="819">
        <v>20</v>
      </c>
      <c r="AW10" s="819" t="s">
        <v>1939</v>
      </c>
      <c r="AX10" s="819" t="s">
        <v>1940</v>
      </c>
      <c r="AY10" s="670">
        <v>12.479999999999999</v>
      </c>
      <c r="AZ10" s="819" t="s">
        <v>298</v>
      </c>
      <c r="BA10" s="670">
        <v>12.479999999999999</v>
      </c>
      <c r="BB10" s="670">
        <v>100</v>
      </c>
      <c r="BC10" s="1140" t="s">
        <v>266</v>
      </c>
      <c r="BD10" s="1141" t="s">
        <v>2134</v>
      </c>
      <c r="BE10" s="1110"/>
      <c r="BF10" s="1110"/>
      <c r="BG10" s="807"/>
      <c r="BH10" s="819"/>
      <c r="BK10" s="9" t="s">
        <v>2217</v>
      </c>
      <c r="BL10" s="224">
        <v>5</v>
      </c>
      <c r="BM10" s="1014" t="s">
        <v>2006</v>
      </c>
      <c r="BN10" s="965">
        <v>13</v>
      </c>
      <c r="BO10" s="910" t="s">
        <v>988</v>
      </c>
      <c r="BP10" s="819" t="s">
        <v>989</v>
      </c>
      <c r="BQ10" s="670">
        <v>5</v>
      </c>
      <c r="BR10" s="807" t="s">
        <v>298</v>
      </c>
      <c r="BS10" s="558">
        <v>5</v>
      </c>
      <c r="BT10" s="558">
        <v>298.68</v>
      </c>
    </row>
    <row r="11" spans="1:72" s="265" customFormat="1" ht="13.35" customHeight="1" thickBot="1">
      <c r="A11" s="748">
        <v>6</v>
      </c>
      <c r="B11" s="863" t="s">
        <v>2433</v>
      </c>
      <c r="C11" s="863">
        <v>2</v>
      </c>
      <c r="D11" s="892" t="s">
        <v>2434</v>
      </c>
      <c r="E11" s="863" t="s">
        <v>2435</v>
      </c>
      <c r="F11" s="559">
        <v>8.0299999999999994</v>
      </c>
      <c r="G11" s="863" t="s">
        <v>2442</v>
      </c>
      <c r="H11" s="559">
        <v>8.0299999999999994</v>
      </c>
      <c r="I11" s="559">
        <v>6000</v>
      </c>
      <c r="J11" s="748">
        <v>47</v>
      </c>
      <c r="K11" s="845" t="s">
        <v>1921</v>
      </c>
      <c r="L11" s="845">
        <v>10</v>
      </c>
      <c r="M11" s="877" t="s">
        <v>1581</v>
      </c>
      <c r="N11" s="877" t="s">
        <v>1582</v>
      </c>
      <c r="O11" s="877">
        <v>7.15</v>
      </c>
      <c r="P11" s="845" t="s">
        <v>1604</v>
      </c>
      <c r="Q11" s="877">
        <v>8.89</v>
      </c>
      <c r="R11" s="877">
        <v>3000</v>
      </c>
      <c r="S11" s="748">
        <v>88</v>
      </c>
      <c r="T11" s="845" t="s">
        <v>1711</v>
      </c>
      <c r="U11" s="845">
        <v>15</v>
      </c>
      <c r="V11" s="845" t="s">
        <v>698</v>
      </c>
      <c r="W11" s="845" t="s">
        <v>699</v>
      </c>
      <c r="X11" s="877">
        <v>8.9499999999999993</v>
      </c>
      <c r="Y11" s="845" t="s">
        <v>298</v>
      </c>
      <c r="Z11" s="877">
        <v>8.9499999999999993</v>
      </c>
      <c r="AA11" s="877">
        <v>150</v>
      </c>
      <c r="AB11" s="748">
        <v>129</v>
      </c>
      <c r="AC11" s="877" t="s">
        <v>1719</v>
      </c>
      <c r="AD11" s="845">
        <v>15</v>
      </c>
      <c r="AE11" s="845" t="s">
        <v>1106</v>
      </c>
      <c r="AF11" s="845" t="s">
        <v>1107</v>
      </c>
      <c r="AG11" s="877">
        <v>11.87</v>
      </c>
      <c r="AH11" s="845" t="s">
        <v>298</v>
      </c>
      <c r="AI11" s="877">
        <v>11.87</v>
      </c>
      <c r="AJ11" s="745">
        <v>250</v>
      </c>
      <c r="AK11" s="748">
        <v>170</v>
      </c>
      <c r="AL11" s="845" t="s">
        <v>1946</v>
      </c>
      <c r="AM11" s="845">
        <v>20</v>
      </c>
      <c r="AN11" s="877" t="s">
        <v>14</v>
      </c>
      <c r="AO11" s="845" t="s">
        <v>15</v>
      </c>
      <c r="AP11" s="877">
        <v>8.59</v>
      </c>
      <c r="AQ11" s="845" t="s">
        <v>298</v>
      </c>
      <c r="AR11" s="877">
        <v>8.59</v>
      </c>
      <c r="AS11" s="745">
        <v>3</v>
      </c>
      <c r="AT11" s="748">
        <v>211</v>
      </c>
      <c r="AU11" s="845" t="s">
        <v>1947</v>
      </c>
      <c r="AV11" s="845">
        <v>20</v>
      </c>
      <c r="AW11" s="845" t="s">
        <v>1948</v>
      </c>
      <c r="AX11" s="845" t="s">
        <v>1949</v>
      </c>
      <c r="AY11" s="877">
        <v>12.479999999999999</v>
      </c>
      <c r="AZ11" s="845" t="s">
        <v>298</v>
      </c>
      <c r="BA11" s="877">
        <v>12.479999999999999</v>
      </c>
      <c r="BB11" s="877">
        <v>100</v>
      </c>
      <c r="BL11" s="646">
        <v>6</v>
      </c>
      <c r="BM11" s="1659" t="s">
        <v>2007</v>
      </c>
      <c r="BN11" s="1660">
        <v>13</v>
      </c>
      <c r="BO11" s="1661" t="s">
        <v>988</v>
      </c>
      <c r="BP11" s="967" t="s">
        <v>989</v>
      </c>
      <c r="BQ11" s="968">
        <v>5</v>
      </c>
      <c r="BR11" s="978" t="s">
        <v>298</v>
      </c>
      <c r="BS11" s="1662">
        <v>5</v>
      </c>
      <c r="BT11" s="1662">
        <v>203.95</v>
      </c>
    </row>
    <row r="12" spans="1:72" s="265" customFormat="1" ht="13.35" customHeight="1">
      <c r="A12" s="267">
        <v>7</v>
      </c>
      <c r="B12" s="807" t="s">
        <v>2451</v>
      </c>
      <c r="C12" s="807">
        <v>2</v>
      </c>
      <c r="D12" s="876" t="s">
        <v>2452</v>
      </c>
      <c r="E12" s="807" t="s">
        <v>2453</v>
      </c>
      <c r="F12" s="558">
        <v>8.15</v>
      </c>
      <c r="G12" s="558" t="s">
        <v>2496</v>
      </c>
      <c r="H12" s="558">
        <v>8.16</v>
      </c>
      <c r="I12" s="558">
        <v>6000</v>
      </c>
      <c r="J12" s="224">
        <v>48</v>
      </c>
      <c r="K12" s="819" t="s">
        <v>1927</v>
      </c>
      <c r="L12" s="819">
        <v>10</v>
      </c>
      <c r="M12" s="670" t="s">
        <v>1590</v>
      </c>
      <c r="N12" s="670" t="s">
        <v>1591</v>
      </c>
      <c r="O12" s="670">
        <v>7.74</v>
      </c>
      <c r="P12" s="819" t="s">
        <v>1610</v>
      </c>
      <c r="Q12" s="670">
        <v>9.0500000000000007</v>
      </c>
      <c r="R12" s="670">
        <v>2675</v>
      </c>
      <c r="S12" s="224">
        <v>89</v>
      </c>
      <c r="T12" s="819" t="s">
        <v>1718</v>
      </c>
      <c r="U12" s="819">
        <v>15</v>
      </c>
      <c r="V12" s="819" t="s">
        <v>700</v>
      </c>
      <c r="W12" s="819" t="s">
        <v>701</v>
      </c>
      <c r="X12" s="670">
        <v>9.0500000000000007</v>
      </c>
      <c r="Y12" s="819" t="s">
        <v>298</v>
      </c>
      <c r="Z12" s="670">
        <v>9.0500000000000007</v>
      </c>
      <c r="AA12" s="670">
        <v>150</v>
      </c>
      <c r="AB12" s="224">
        <v>130</v>
      </c>
      <c r="AC12" s="670" t="s">
        <v>1727</v>
      </c>
      <c r="AD12" s="819">
        <v>15</v>
      </c>
      <c r="AE12" s="819" t="s">
        <v>1108</v>
      </c>
      <c r="AF12" s="819" t="s">
        <v>1109</v>
      </c>
      <c r="AG12" s="670">
        <v>11.59</v>
      </c>
      <c r="AH12" s="819" t="s">
        <v>298</v>
      </c>
      <c r="AI12" s="670">
        <v>11.59</v>
      </c>
      <c r="AJ12" s="670">
        <v>250</v>
      </c>
      <c r="AK12" s="224">
        <v>171</v>
      </c>
      <c r="AL12" s="819" t="s">
        <v>1697</v>
      </c>
      <c r="AM12" s="819">
        <v>20</v>
      </c>
      <c r="AN12" s="670" t="s">
        <v>352</v>
      </c>
      <c r="AO12" s="819" t="s">
        <v>353</v>
      </c>
      <c r="AP12" s="670">
        <v>9.1</v>
      </c>
      <c r="AQ12" s="819" t="s">
        <v>298</v>
      </c>
      <c r="AR12" s="670">
        <v>9.1</v>
      </c>
      <c r="AS12" s="810">
        <v>125</v>
      </c>
      <c r="AT12" s="224">
        <v>212</v>
      </c>
      <c r="AU12" s="819" t="s">
        <v>1698</v>
      </c>
      <c r="AV12" s="819">
        <v>20</v>
      </c>
      <c r="AW12" s="670" t="s">
        <v>1699</v>
      </c>
      <c r="AX12" s="819" t="s">
        <v>1700</v>
      </c>
      <c r="AY12" s="670">
        <v>12.47</v>
      </c>
      <c r="AZ12" s="819" t="s">
        <v>298</v>
      </c>
      <c r="BA12" s="670">
        <v>12.47</v>
      </c>
      <c r="BB12" s="670">
        <v>100</v>
      </c>
      <c r="BL12" s="224"/>
      <c r="BM12" s="265" t="s">
        <v>2780</v>
      </c>
      <c r="BN12" s="571"/>
      <c r="BO12" s="8"/>
      <c r="BP12" s="8"/>
      <c r="BQ12" s="8"/>
      <c r="BR12" s="1110"/>
    </row>
    <row r="13" spans="1:72" s="265" customFormat="1" ht="13.35" customHeight="1">
      <c r="A13" s="309">
        <v>8</v>
      </c>
      <c r="B13" s="863" t="s">
        <v>2509</v>
      </c>
      <c r="C13" s="863">
        <v>2</v>
      </c>
      <c r="D13" s="892" t="s">
        <v>2510</v>
      </c>
      <c r="E13" s="863" t="s">
        <v>2511</v>
      </c>
      <c r="F13" s="863">
        <v>8.9</v>
      </c>
      <c r="G13" s="863" t="s">
        <v>2518</v>
      </c>
      <c r="H13" s="559">
        <v>9</v>
      </c>
      <c r="I13" s="559">
        <v>6000</v>
      </c>
      <c r="J13" s="748">
        <v>49</v>
      </c>
      <c r="K13" s="845" t="s">
        <v>1934</v>
      </c>
      <c r="L13" s="845">
        <v>10</v>
      </c>
      <c r="M13" s="845" t="s">
        <v>1598</v>
      </c>
      <c r="N13" s="845" t="s">
        <v>1599</v>
      </c>
      <c r="O13" s="877">
        <v>8.44</v>
      </c>
      <c r="P13" s="845" t="s">
        <v>1604</v>
      </c>
      <c r="Q13" s="877">
        <v>8.89</v>
      </c>
      <c r="R13" s="877">
        <v>3000</v>
      </c>
      <c r="S13" s="748">
        <v>90</v>
      </c>
      <c r="T13" s="845" t="s">
        <v>1726</v>
      </c>
      <c r="U13" s="845">
        <v>15</v>
      </c>
      <c r="V13" s="897" t="s">
        <v>702</v>
      </c>
      <c r="W13" s="897" t="s">
        <v>703</v>
      </c>
      <c r="X13" s="877">
        <v>9.1199999999999992</v>
      </c>
      <c r="Y13" s="845" t="s">
        <v>298</v>
      </c>
      <c r="Z13" s="745">
        <v>9.1199999999999992</v>
      </c>
      <c r="AA13" s="877">
        <v>150</v>
      </c>
      <c r="AB13" s="748">
        <v>131</v>
      </c>
      <c r="AC13" s="845" t="s">
        <v>1735</v>
      </c>
      <c r="AD13" s="845">
        <v>15</v>
      </c>
      <c r="AE13" s="845" t="s">
        <v>1112</v>
      </c>
      <c r="AF13" s="845" t="s">
        <v>1113</v>
      </c>
      <c r="AG13" s="877">
        <v>11.5</v>
      </c>
      <c r="AH13" s="845" t="s">
        <v>298</v>
      </c>
      <c r="AI13" s="877">
        <v>11.5</v>
      </c>
      <c r="AJ13" s="877">
        <v>250</v>
      </c>
      <c r="AK13" s="748">
        <v>172</v>
      </c>
      <c r="AL13" s="845" t="s">
        <v>1704</v>
      </c>
      <c r="AM13" s="845">
        <v>20</v>
      </c>
      <c r="AN13" s="877" t="s">
        <v>354</v>
      </c>
      <c r="AO13" s="845" t="s">
        <v>355</v>
      </c>
      <c r="AP13" s="877">
        <v>9.1</v>
      </c>
      <c r="AQ13" s="845" t="s">
        <v>298</v>
      </c>
      <c r="AR13" s="877">
        <v>9.1</v>
      </c>
      <c r="AS13" s="745">
        <v>150</v>
      </c>
      <c r="AT13" s="748">
        <v>213</v>
      </c>
      <c r="AU13" s="845" t="s">
        <v>1705</v>
      </c>
      <c r="AV13" s="845">
        <v>20</v>
      </c>
      <c r="AW13" s="845" t="s">
        <v>1706</v>
      </c>
      <c r="AX13" s="845" t="s">
        <v>1707</v>
      </c>
      <c r="AY13" s="877">
        <v>12.479999999999999</v>
      </c>
      <c r="AZ13" s="845" t="s">
        <v>298</v>
      </c>
      <c r="BA13" s="877">
        <v>12.479999999999999</v>
      </c>
      <c r="BB13" s="877">
        <v>100</v>
      </c>
      <c r="BC13" s="1140"/>
      <c r="BD13" s="1141"/>
      <c r="BE13" s="1110"/>
      <c r="BF13" s="1110"/>
      <c r="BG13" s="807"/>
      <c r="BH13" s="819"/>
      <c r="BK13" s="9"/>
      <c r="BL13" s="224"/>
      <c r="BM13" s="289" t="s">
        <v>2125</v>
      </c>
      <c r="BN13" s="289"/>
      <c r="BO13" s="289"/>
      <c r="BP13" s="289"/>
      <c r="BQ13" s="265" t="s">
        <v>2217</v>
      </c>
      <c r="BR13" s="289"/>
    </row>
    <row r="14" spans="1:72" s="265" customFormat="1" ht="13.35" customHeight="1">
      <c r="A14" s="267">
        <v>9</v>
      </c>
      <c r="B14" s="807" t="s">
        <v>2559</v>
      </c>
      <c r="C14" s="807">
        <v>2</v>
      </c>
      <c r="D14" s="558" t="s">
        <v>2560</v>
      </c>
      <c r="E14" s="558" t="s">
        <v>2561</v>
      </c>
      <c r="F14" s="558">
        <v>8.69</v>
      </c>
      <c r="G14" s="558" t="s">
        <v>2657</v>
      </c>
      <c r="H14" s="558">
        <v>10.26</v>
      </c>
      <c r="I14" s="558">
        <f>1674.94+3921.22</f>
        <v>5596.16</v>
      </c>
      <c r="J14" s="224">
        <v>50</v>
      </c>
      <c r="K14" s="819" t="s">
        <v>1941</v>
      </c>
      <c r="L14" s="819">
        <v>10</v>
      </c>
      <c r="M14" s="670" t="s">
        <v>1606</v>
      </c>
      <c r="N14" s="670" t="s">
        <v>1607</v>
      </c>
      <c r="O14" s="670">
        <v>9.27</v>
      </c>
      <c r="P14" s="819" t="s">
        <v>1615</v>
      </c>
      <c r="Q14" s="670">
        <v>9.19</v>
      </c>
      <c r="R14" s="670">
        <v>4000</v>
      </c>
      <c r="S14" s="224">
        <v>91</v>
      </c>
      <c r="T14" s="819" t="s">
        <v>1734</v>
      </c>
      <c r="U14" s="819">
        <v>15</v>
      </c>
      <c r="V14" s="819" t="s">
        <v>704</v>
      </c>
      <c r="W14" s="819" t="s">
        <v>705</v>
      </c>
      <c r="X14" s="670">
        <v>9.1199999999999992</v>
      </c>
      <c r="Y14" s="819" t="s">
        <v>298</v>
      </c>
      <c r="Z14" s="670">
        <v>9.1199999999999992</v>
      </c>
      <c r="AA14" s="670">
        <v>200</v>
      </c>
      <c r="AB14" s="224">
        <v>132</v>
      </c>
      <c r="AC14" s="819" t="s">
        <v>1741</v>
      </c>
      <c r="AD14" s="819">
        <v>15</v>
      </c>
      <c r="AE14" s="819" t="s">
        <v>1122</v>
      </c>
      <c r="AF14" s="819" t="s">
        <v>1123</v>
      </c>
      <c r="AG14" s="670">
        <v>11.42</v>
      </c>
      <c r="AH14" s="819" t="s">
        <v>298</v>
      </c>
      <c r="AI14" s="670">
        <v>11.42</v>
      </c>
      <c r="AJ14" s="670">
        <v>250</v>
      </c>
      <c r="AK14" s="224">
        <v>173</v>
      </c>
      <c r="AL14" s="819" t="s">
        <v>1713</v>
      </c>
      <c r="AM14" s="819">
        <v>20</v>
      </c>
      <c r="AN14" s="819" t="s">
        <v>356</v>
      </c>
      <c r="AO14" s="819" t="s">
        <v>357</v>
      </c>
      <c r="AP14" s="670">
        <v>9.11</v>
      </c>
      <c r="AQ14" s="819" t="s">
        <v>298</v>
      </c>
      <c r="AR14" s="670">
        <v>9.11</v>
      </c>
      <c r="AS14" s="810">
        <v>100</v>
      </c>
      <c r="AT14" s="224">
        <v>214</v>
      </c>
      <c r="AU14" s="819" t="s">
        <v>1714</v>
      </c>
      <c r="AV14" s="819">
        <v>20</v>
      </c>
      <c r="AW14" s="819" t="s">
        <v>1715</v>
      </c>
      <c r="AX14" s="819" t="s">
        <v>1716</v>
      </c>
      <c r="AY14" s="670">
        <v>12.479999999999999</v>
      </c>
      <c r="AZ14" s="819" t="s">
        <v>298</v>
      </c>
      <c r="BA14" s="670">
        <v>12.479999999999999</v>
      </c>
      <c r="BB14" s="670">
        <v>150</v>
      </c>
      <c r="BL14" s="224"/>
      <c r="BS14" s="558"/>
      <c r="BT14" s="558"/>
    </row>
    <row r="15" spans="1:72" s="265" customFormat="1" ht="13.35" customHeight="1">
      <c r="A15" s="863">
        <v>10</v>
      </c>
      <c r="B15" s="863" t="s">
        <v>2577</v>
      </c>
      <c r="C15" s="863">
        <v>2</v>
      </c>
      <c r="D15" s="892" t="s">
        <v>2578</v>
      </c>
      <c r="E15" s="863" t="s">
        <v>2579</v>
      </c>
      <c r="F15" s="559">
        <v>10.9</v>
      </c>
      <c r="G15" s="863" t="s">
        <v>298</v>
      </c>
      <c r="H15" s="559">
        <v>10.9</v>
      </c>
      <c r="I15" s="559">
        <v>1369.87</v>
      </c>
      <c r="J15" s="748">
        <v>51</v>
      </c>
      <c r="K15" s="845" t="s">
        <v>1693</v>
      </c>
      <c r="L15" s="845">
        <v>10</v>
      </c>
      <c r="M15" s="877" t="s">
        <v>1616</v>
      </c>
      <c r="N15" s="877" t="s">
        <v>1617</v>
      </c>
      <c r="O15" s="877">
        <v>9.23</v>
      </c>
      <c r="P15" s="845" t="s">
        <v>1694</v>
      </c>
      <c r="Q15" s="877">
        <v>8.64</v>
      </c>
      <c r="R15" s="877">
        <v>4000</v>
      </c>
      <c r="S15" s="748">
        <v>92</v>
      </c>
      <c r="T15" s="845" t="s">
        <v>1740</v>
      </c>
      <c r="U15" s="845">
        <v>15</v>
      </c>
      <c r="V15" s="845" t="s">
        <v>706</v>
      </c>
      <c r="W15" s="845" t="s">
        <v>707</v>
      </c>
      <c r="X15" s="877">
        <v>9.1999999999999993</v>
      </c>
      <c r="Y15" s="845" t="s">
        <v>298</v>
      </c>
      <c r="Z15" s="877">
        <v>9.1999999999999993</v>
      </c>
      <c r="AA15" s="877">
        <v>200</v>
      </c>
      <c r="AB15" s="748">
        <v>133</v>
      </c>
      <c r="AC15" s="845" t="s">
        <v>1749</v>
      </c>
      <c r="AD15" s="845">
        <v>15</v>
      </c>
      <c r="AE15" s="845" t="s">
        <v>1124</v>
      </c>
      <c r="AF15" s="845" t="s">
        <v>1125</v>
      </c>
      <c r="AG15" s="877">
        <v>11.469999999999999</v>
      </c>
      <c r="AH15" s="845" t="s">
        <v>1750</v>
      </c>
      <c r="AI15" s="877">
        <v>11.4</v>
      </c>
      <c r="AJ15" s="877">
        <v>680</v>
      </c>
      <c r="AK15" s="748">
        <v>174</v>
      </c>
      <c r="AL15" s="845" t="s">
        <v>1720</v>
      </c>
      <c r="AM15" s="845">
        <v>20</v>
      </c>
      <c r="AN15" s="845" t="s">
        <v>358</v>
      </c>
      <c r="AO15" s="845" t="s">
        <v>359</v>
      </c>
      <c r="AP15" s="877">
        <v>9.15</v>
      </c>
      <c r="AQ15" s="845" t="s">
        <v>298</v>
      </c>
      <c r="AR15" s="877">
        <v>9.15</v>
      </c>
      <c r="AS15" s="745">
        <v>100</v>
      </c>
      <c r="AT15" s="748">
        <v>215</v>
      </c>
      <c r="AU15" s="845" t="s">
        <v>1721</v>
      </c>
      <c r="AV15" s="845">
        <v>20</v>
      </c>
      <c r="AW15" s="845" t="s">
        <v>1722</v>
      </c>
      <c r="AX15" s="845" t="s">
        <v>1723</v>
      </c>
      <c r="AY15" s="877">
        <v>12.479999999999999</v>
      </c>
      <c r="AZ15" s="845" t="s">
        <v>298</v>
      </c>
      <c r="BA15" s="877">
        <v>12.479999999999999</v>
      </c>
      <c r="BB15" s="877">
        <v>150</v>
      </c>
      <c r="BL15" s="224"/>
      <c r="BS15" s="558"/>
      <c r="BT15" s="558"/>
    </row>
    <row r="16" spans="1:72" s="265" customFormat="1" ht="13.35" customHeight="1">
      <c r="A16" s="267">
        <v>11</v>
      </c>
      <c r="B16" s="895" t="s">
        <v>2773</v>
      </c>
      <c r="C16" s="819">
        <v>2</v>
      </c>
      <c r="D16" s="819" t="s">
        <v>2774</v>
      </c>
      <c r="E16" s="670" t="s">
        <v>2775</v>
      </c>
      <c r="F16" s="670">
        <v>11.6</v>
      </c>
      <c r="G16" s="819" t="s">
        <v>298</v>
      </c>
      <c r="H16" s="670">
        <v>11.6</v>
      </c>
      <c r="I16" s="670">
        <v>1271.9000000000001</v>
      </c>
      <c r="J16" s="224">
        <v>52</v>
      </c>
      <c r="K16" s="819" t="s">
        <v>1701</v>
      </c>
      <c r="L16" s="819">
        <v>10</v>
      </c>
      <c r="M16" s="670" t="s">
        <v>1625</v>
      </c>
      <c r="N16" s="670" t="s">
        <v>1626</v>
      </c>
      <c r="O16" s="670">
        <v>9.15</v>
      </c>
      <c r="P16" s="819" t="s">
        <v>1958</v>
      </c>
      <c r="Q16" s="670">
        <v>6.64</v>
      </c>
      <c r="R16" s="670">
        <v>4000</v>
      </c>
      <c r="S16" s="224">
        <v>93</v>
      </c>
      <c r="T16" s="819" t="s">
        <v>1748</v>
      </c>
      <c r="U16" s="819">
        <v>15</v>
      </c>
      <c r="V16" s="819" t="s">
        <v>727</v>
      </c>
      <c r="W16" s="819" t="s">
        <v>728</v>
      </c>
      <c r="X16" s="670">
        <v>9.3000000000000007</v>
      </c>
      <c r="Y16" s="819" t="s">
        <v>298</v>
      </c>
      <c r="Z16" s="670">
        <v>9.3000000000000007</v>
      </c>
      <c r="AA16" s="670">
        <v>250</v>
      </c>
      <c r="AB16" s="224">
        <v>134</v>
      </c>
      <c r="AC16" s="819" t="s">
        <v>1754</v>
      </c>
      <c r="AD16" s="819">
        <v>15</v>
      </c>
      <c r="AE16" s="819" t="s">
        <v>1233</v>
      </c>
      <c r="AF16" s="819" t="s">
        <v>711</v>
      </c>
      <c r="AG16" s="670">
        <v>10.059999999999999</v>
      </c>
      <c r="AH16" s="819" t="s">
        <v>1627</v>
      </c>
      <c r="AI16" s="670">
        <v>9.09</v>
      </c>
      <c r="AJ16" s="670">
        <v>3000</v>
      </c>
      <c r="AK16" s="242">
        <v>175</v>
      </c>
      <c r="AL16" s="819" t="s">
        <v>1728</v>
      </c>
      <c r="AM16" s="819">
        <v>20</v>
      </c>
      <c r="AN16" s="819" t="s">
        <v>1729</v>
      </c>
      <c r="AO16" s="819" t="s">
        <v>1730</v>
      </c>
      <c r="AP16" s="670">
        <v>9.17</v>
      </c>
      <c r="AQ16" s="819" t="s">
        <v>298</v>
      </c>
      <c r="AR16" s="670">
        <v>9.17</v>
      </c>
      <c r="AS16" s="810">
        <v>80</v>
      </c>
      <c r="AT16" s="224">
        <v>216</v>
      </c>
      <c r="AU16" s="819" t="s">
        <v>1731</v>
      </c>
      <c r="AV16" s="819">
        <v>20</v>
      </c>
      <c r="AW16" s="670" t="s">
        <v>1732</v>
      </c>
      <c r="AX16" s="819" t="s">
        <v>1733</v>
      </c>
      <c r="AY16" s="670">
        <v>12.479999999999999</v>
      </c>
      <c r="AZ16" s="819" t="s">
        <v>298</v>
      </c>
      <c r="BA16" s="670">
        <v>12.479999999999999</v>
      </c>
      <c r="BB16" s="670">
        <v>150</v>
      </c>
      <c r="BL16" s="224"/>
      <c r="BS16" s="1110"/>
      <c r="BT16" s="807"/>
    </row>
    <row r="17" spans="1:72" s="265" customFormat="1" ht="13.35" customHeight="1">
      <c r="A17" s="309">
        <v>12</v>
      </c>
      <c r="B17" s="863" t="s">
        <v>1835</v>
      </c>
      <c r="C17" s="845">
        <v>5</v>
      </c>
      <c r="D17" s="845" t="s">
        <v>1587</v>
      </c>
      <c r="E17" s="845" t="s">
        <v>1588</v>
      </c>
      <c r="F17" s="877">
        <v>6.44</v>
      </c>
      <c r="G17" s="845" t="s">
        <v>1605</v>
      </c>
      <c r="H17" s="877">
        <v>9.23</v>
      </c>
      <c r="I17" s="877">
        <v>2700</v>
      </c>
      <c r="J17" s="748">
        <v>53</v>
      </c>
      <c r="K17" s="845" t="s">
        <v>1708</v>
      </c>
      <c r="L17" s="845">
        <v>10</v>
      </c>
      <c r="M17" s="877" t="s">
        <v>1709</v>
      </c>
      <c r="N17" s="877" t="s">
        <v>1710</v>
      </c>
      <c r="O17" s="877">
        <v>8.74</v>
      </c>
      <c r="P17" s="845" t="s">
        <v>298</v>
      </c>
      <c r="Q17" s="877">
        <v>8.74</v>
      </c>
      <c r="R17" s="877">
        <v>4500</v>
      </c>
      <c r="S17" s="748">
        <v>94</v>
      </c>
      <c r="T17" s="845" t="s">
        <v>1753</v>
      </c>
      <c r="U17" s="845">
        <v>15</v>
      </c>
      <c r="V17" s="845" t="s">
        <v>1023</v>
      </c>
      <c r="W17" s="845" t="s">
        <v>1024</v>
      </c>
      <c r="X17" s="877">
        <v>9.35</v>
      </c>
      <c r="Y17" s="845" t="s">
        <v>298</v>
      </c>
      <c r="Z17" s="877">
        <v>9.35</v>
      </c>
      <c r="AA17" s="877">
        <v>250</v>
      </c>
      <c r="AB17" s="901">
        <v>135</v>
      </c>
      <c r="AC17" s="845" t="s">
        <v>1758</v>
      </c>
      <c r="AD17" s="845">
        <v>15</v>
      </c>
      <c r="AE17" s="845" t="s">
        <v>1235</v>
      </c>
      <c r="AF17" s="845" t="s">
        <v>1236</v>
      </c>
      <c r="AG17" s="877">
        <v>8.44</v>
      </c>
      <c r="AH17" s="845" t="s">
        <v>1494</v>
      </c>
      <c r="AI17" s="877">
        <v>7.99</v>
      </c>
      <c r="AJ17" s="877">
        <v>3000</v>
      </c>
      <c r="AK17" s="748">
        <v>176</v>
      </c>
      <c r="AL17" s="845" t="s">
        <v>1736</v>
      </c>
      <c r="AM17" s="845">
        <v>20</v>
      </c>
      <c r="AN17" s="845" t="s">
        <v>708</v>
      </c>
      <c r="AO17" s="845" t="s">
        <v>709</v>
      </c>
      <c r="AP17" s="877">
        <v>9.1999999999999993</v>
      </c>
      <c r="AQ17" s="845" t="s">
        <v>298</v>
      </c>
      <c r="AR17" s="877">
        <v>9.1999999999999993</v>
      </c>
      <c r="AS17" s="745">
        <v>75</v>
      </c>
      <c r="AT17" s="748">
        <v>217</v>
      </c>
      <c r="AU17" s="845" t="s">
        <v>1737</v>
      </c>
      <c r="AV17" s="845">
        <v>20</v>
      </c>
      <c r="AW17" s="845" t="s">
        <v>1738</v>
      </c>
      <c r="AX17" s="845" t="s">
        <v>1739</v>
      </c>
      <c r="AY17" s="877">
        <v>12.479999999999999</v>
      </c>
      <c r="AZ17" s="845" t="s">
        <v>298</v>
      </c>
      <c r="BA17" s="877">
        <v>12.479999999999999</v>
      </c>
      <c r="BB17" s="877">
        <v>150</v>
      </c>
      <c r="BI17" s="1141"/>
      <c r="BL17" s="224"/>
      <c r="BS17" s="268"/>
      <c r="BT17" s="807"/>
    </row>
    <row r="18" spans="1:72" s="265" customFormat="1" ht="13.35" customHeight="1">
      <c r="A18" s="267">
        <v>13</v>
      </c>
      <c r="B18" s="807" t="s">
        <v>1842</v>
      </c>
      <c r="C18" s="819">
        <v>5</v>
      </c>
      <c r="D18" s="819" t="s">
        <v>1593</v>
      </c>
      <c r="E18" s="819" t="s">
        <v>1594</v>
      </c>
      <c r="F18" s="670">
        <v>8.1</v>
      </c>
      <c r="G18" s="819" t="s">
        <v>1611</v>
      </c>
      <c r="H18" s="670">
        <v>8.9700000000000006</v>
      </c>
      <c r="I18" s="670">
        <v>4300</v>
      </c>
      <c r="J18" s="224">
        <v>54</v>
      </c>
      <c r="K18" s="895" t="s">
        <v>1717</v>
      </c>
      <c r="L18" s="895">
        <v>10</v>
      </c>
      <c r="M18" s="810" t="s">
        <v>1660</v>
      </c>
      <c r="N18" s="810" t="s">
        <v>1661</v>
      </c>
      <c r="O18" s="810">
        <v>8.66</v>
      </c>
      <c r="P18" s="895" t="s">
        <v>1976</v>
      </c>
      <c r="Q18" s="810">
        <v>5.75</v>
      </c>
      <c r="R18" s="810">
        <v>4500</v>
      </c>
      <c r="S18" s="242">
        <v>95</v>
      </c>
      <c r="T18" s="819" t="s">
        <v>1757</v>
      </c>
      <c r="U18" s="819">
        <v>15</v>
      </c>
      <c r="V18" s="819" t="s">
        <v>1025</v>
      </c>
      <c r="W18" s="819" t="s">
        <v>1026</v>
      </c>
      <c r="X18" s="670">
        <v>9.35</v>
      </c>
      <c r="Y18" s="819" t="s">
        <v>298</v>
      </c>
      <c r="Z18" s="670">
        <v>9.35</v>
      </c>
      <c r="AA18" s="670">
        <v>250</v>
      </c>
      <c r="AB18" s="224">
        <v>136</v>
      </c>
      <c r="AC18" s="819" t="s">
        <v>1762</v>
      </c>
      <c r="AD18" s="819">
        <v>15</v>
      </c>
      <c r="AE18" s="819" t="s">
        <v>1259</v>
      </c>
      <c r="AF18" s="819" t="s">
        <v>730</v>
      </c>
      <c r="AG18" s="670">
        <v>7.79</v>
      </c>
      <c r="AH18" s="819" t="s">
        <v>1497</v>
      </c>
      <c r="AI18" s="670">
        <v>7.52</v>
      </c>
      <c r="AJ18" s="670">
        <v>2850</v>
      </c>
      <c r="AK18" s="224">
        <v>177</v>
      </c>
      <c r="AL18" s="819" t="s">
        <v>1742</v>
      </c>
      <c r="AM18" s="819">
        <v>20</v>
      </c>
      <c r="AN18" s="819" t="s">
        <v>1743</v>
      </c>
      <c r="AO18" s="819" t="s">
        <v>1744</v>
      </c>
      <c r="AP18" s="670">
        <v>9.15</v>
      </c>
      <c r="AQ18" s="819" t="s">
        <v>298</v>
      </c>
      <c r="AR18" s="670">
        <v>9.15</v>
      </c>
      <c r="AS18" s="810">
        <v>75</v>
      </c>
      <c r="AT18" s="224">
        <v>218</v>
      </c>
      <c r="AU18" s="819" t="s">
        <v>1745</v>
      </c>
      <c r="AV18" s="819">
        <v>20</v>
      </c>
      <c r="AW18" s="819" t="s">
        <v>1746</v>
      </c>
      <c r="AX18" s="819" t="s">
        <v>1747</v>
      </c>
      <c r="AY18" s="670">
        <v>12.33</v>
      </c>
      <c r="AZ18" s="819" t="s">
        <v>298</v>
      </c>
      <c r="BA18" s="670">
        <v>12.33</v>
      </c>
      <c r="BB18" s="670">
        <v>150</v>
      </c>
      <c r="BL18" s="224"/>
    </row>
    <row r="19" spans="1:72" s="265" customFormat="1" ht="13.35" customHeight="1">
      <c r="A19" s="309">
        <v>14</v>
      </c>
      <c r="B19" s="897" t="s">
        <v>1843</v>
      </c>
      <c r="C19" s="845">
        <v>5</v>
      </c>
      <c r="D19" s="845" t="s">
        <v>1596</v>
      </c>
      <c r="E19" s="845" t="s">
        <v>1597</v>
      </c>
      <c r="F19" s="877">
        <v>8.43</v>
      </c>
      <c r="G19" s="845" t="s">
        <v>1609</v>
      </c>
      <c r="H19" s="877">
        <v>8.9</v>
      </c>
      <c r="I19" s="877">
        <v>3000</v>
      </c>
      <c r="J19" s="901">
        <v>55</v>
      </c>
      <c r="K19" s="845" t="s">
        <v>1724</v>
      </c>
      <c r="L19" s="845">
        <v>10</v>
      </c>
      <c r="M19" s="845" t="s">
        <v>1672</v>
      </c>
      <c r="N19" s="845" t="s">
        <v>1725</v>
      </c>
      <c r="O19" s="877">
        <v>7.89</v>
      </c>
      <c r="P19" s="845" t="s">
        <v>2513</v>
      </c>
      <c r="Q19" s="877">
        <v>8.91</v>
      </c>
      <c r="R19" s="877">
        <v>6000</v>
      </c>
      <c r="S19" s="748">
        <v>96</v>
      </c>
      <c r="T19" s="845" t="s">
        <v>1761</v>
      </c>
      <c r="U19" s="845">
        <v>15</v>
      </c>
      <c r="V19" s="845" t="s">
        <v>1027</v>
      </c>
      <c r="W19" s="845" t="s">
        <v>1028</v>
      </c>
      <c r="X19" s="877">
        <v>9.65</v>
      </c>
      <c r="Y19" s="845" t="s">
        <v>298</v>
      </c>
      <c r="Z19" s="877">
        <v>9.65</v>
      </c>
      <c r="AA19" s="877">
        <v>150</v>
      </c>
      <c r="AB19" s="748">
        <v>137</v>
      </c>
      <c r="AC19" s="845" t="s">
        <v>1766</v>
      </c>
      <c r="AD19" s="845">
        <v>15</v>
      </c>
      <c r="AE19" s="845" t="s">
        <v>1539</v>
      </c>
      <c r="AF19" s="845" t="s">
        <v>1540</v>
      </c>
      <c r="AG19" s="877">
        <v>7.1999999999999993</v>
      </c>
      <c r="AH19" s="845" t="s">
        <v>1618</v>
      </c>
      <c r="AI19" s="877">
        <v>9.33</v>
      </c>
      <c r="AJ19" s="745">
        <v>4500</v>
      </c>
      <c r="AK19" s="748">
        <v>178</v>
      </c>
      <c r="AL19" s="845" t="s">
        <v>1751</v>
      </c>
      <c r="AM19" s="845">
        <v>20</v>
      </c>
      <c r="AN19" s="877" t="s">
        <v>710</v>
      </c>
      <c r="AO19" s="845" t="s">
        <v>711</v>
      </c>
      <c r="AP19" s="877">
        <v>9.1999999999999993</v>
      </c>
      <c r="AQ19" s="845" t="s">
        <v>298</v>
      </c>
      <c r="AR19" s="877">
        <v>9.1999999999999993</v>
      </c>
      <c r="AS19" s="745">
        <v>125</v>
      </c>
      <c r="AT19" s="748">
        <v>219</v>
      </c>
      <c r="AU19" s="845" t="s">
        <v>1752</v>
      </c>
      <c r="AV19" s="845">
        <v>20</v>
      </c>
      <c r="AW19" s="845" t="s">
        <v>1068</v>
      </c>
      <c r="AX19" s="845" t="s">
        <v>1069</v>
      </c>
      <c r="AY19" s="877">
        <v>12.33</v>
      </c>
      <c r="AZ19" s="845" t="s">
        <v>298</v>
      </c>
      <c r="BA19" s="877">
        <v>12.33</v>
      </c>
      <c r="BB19" s="877">
        <v>150</v>
      </c>
      <c r="BL19" s="224"/>
    </row>
    <row r="20" spans="1:72" s="265" customFormat="1" ht="13.35" customHeight="1">
      <c r="A20" s="267">
        <v>15</v>
      </c>
      <c r="B20" s="895" t="s">
        <v>1846</v>
      </c>
      <c r="C20" s="819">
        <v>5</v>
      </c>
      <c r="D20" s="819" t="s">
        <v>1613</v>
      </c>
      <c r="E20" s="819" t="s">
        <v>1614</v>
      </c>
      <c r="F20" s="670">
        <v>8.9700000000000006</v>
      </c>
      <c r="G20" s="819" t="s">
        <v>1847</v>
      </c>
      <c r="H20" s="670">
        <v>8.1199999999999992</v>
      </c>
      <c r="I20" s="670">
        <v>4500</v>
      </c>
      <c r="J20" s="224">
        <v>56</v>
      </c>
      <c r="K20" s="819" t="s">
        <v>1959</v>
      </c>
      <c r="L20" s="819">
        <v>10</v>
      </c>
      <c r="M20" s="819" t="s">
        <v>1960</v>
      </c>
      <c r="N20" s="819" t="s">
        <v>1977</v>
      </c>
      <c r="O20" s="670">
        <v>5.63</v>
      </c>
      <c r="P20" s="819" t="s">
        <v>1969</v>
      </c>
      <c r="Q20" s="670">
        <v>5.77</v>
      </c>
      <c r="R20" s="670">
        <v>4500</v>
      </c>
      <c r="S20" s="224">
        <v>97</v>
      </c>
      <c r="T20" s="819" t="s">
        <v>1765</v>
      </c>
      <c r="U20" s="819">
        <v>15</v>
      </c>
      <c r="V20" s="819" t="s">
        <v>1029</v>
      </c>
      <c r="W20" s="819" t="s">
        <v>1030</v>
      </c>
      <c r="X20" s="670">
        <v>10.3</v>
      </c>
      <c r="Y20" s="819" t="s">
        <v>298</v>
      </c>
      <c r="Z20" s="670">
        <v>10.3</v>
      </c>
      <c r="AA20" s="670">
        <v>150</v>
      </c>
      <c r="AB20" s="224">
        <v>138</v>
      </c>
      <c r="AC20" s="819" t="s">
        <v>1772</v>
      </c>
      <c r="AD20" s="819">
        <v>15</v>
      </c>
      <c r="AE20" s="819" t="s">
        <v>1583</v>
      </c>
      <c r="AF20" s="819" t="s">
        <v>1584</v>
      </c>
      <c r="AG20" s="670">
        <v>7.55</v>
      </c>
      <c r="AH20" s="819" t="s">
        <v>1996</v>
      </c>
      <c r="AI20" s="670">
        <v>5.87</v>
      </c>
      <c r="AJ20" s="810">
        <v>4150</v>
      </c>
      <c r="AK20" s="224">
        <v>179</v>
      </c>
      <c r="AL20" s="819" t="s">
        <v>1755</v>
      </c>
      <c r="AM20" s="819">
        <v>20</v>
      </c>
      <c r="AN20" s="819" t="s">
        <v>712</v>
      </c>
      <c r="AO20" s="819" t="s">
        <v>713</v>
      </c>
      <c r="AP20" s="670">
        <v>9.23</v>
      </c>
      <c r="AQ20" s="819" t="s">
        <v>298</v>
      </c>
      <c r="AR20" s="670">
        <v>9.23</v>
      </c>
      <c r="AS20" s="810">
        <v>125</v>
      </c>
      <c r="AT20" s="242">
        <v>220</v>
      </c>
      <c r="AU20" s="819" t="s">
        <v>1756</v>
      </c>
      <c r="AV20" s="819">
        <v>20</v>
      </c>
      <c r="AW20" s="819" t="s">
        <v>1071</v>
      </c>
      <c r="AX20" s="819" t="s">
        <v>1072</v>
      </c>
      <c r="AY20" s="670">
        <v>12.26</v>
      </c>
      <c r="AZ20" s="819" t="s">
        <v>298</v>
      </c>
      <c r="BA20" s="670">
        <v>12.26</v>
      </c>
      <c r="BB20" s="670">
        <v>150</v>
      </c>
      <c r="BL20" s="224"/>
      <c r="BM20" s="168"/>
      <c r="BN20" s="168"/>
      <c r="BQ20" s="267"/>
    </row>
    <row r="21" spans="1:72" s="265" customFormat="1" ht="13.35" customHeight="1">
      <c r="A21" s="309">
        <v>16</v>
      </c>
      <c r="B21" s="897" t="s">
        <v>1854</v>
      </c>
      <c r="C21" s="845">
        <v>5</v>
      </c>
      <c r="D21" s="845" t="s">
        <v>1622</v>
      </c>
      <c r="E21" s="845" t="s">
        <v>1623</v>
      </c>
      <c r="F21" s="877">
        <v>8.86</v>
      </c>
      <c r="G21" s="845" t="s">
        <v>1954</v>
      </c>
      <c r="H21" s="877">
        <v>5.69</v>
      </c>
      <c r="I21" s="877">
        <v>4000</v>
      </c>
      <c r="J21" s="748">
        <v>57</v>
      </c>
      <c r="K21" s="845" t="s">
        <v>1982</v>
      </c>
      <c r="L21" s="845">
        <v>10</v>
      </c>
      <c r="M21" s="845" t="s">
        <v>1983</v>
      </c>
      <c r="N21" s="845" t="s">
        <v>1984</v>
      </c>
      <c r="O21" s="877">
        <v>6.01</v>
      </c>
      <c r="P21" s="845" t="s">
        <v>2067</v>
      </c>
      <c r="Q21" s="877">
        <v>5.99</v>
      </c>
      <c r="R21" s="877">
        <v>4500</v>
      </c>
      <c r="S21" s="748">
        <v>98</v>
      </c>
      <c r="T21" s="845" t="s">
        <v>1769</v>
      </c>
      <c r="U21" s="845">
        <v>15</v>
      </c>
      <c r="V21" s="845" t="s">
        <v>1770</v>
      </c>
      <c r="W21" s="845" t="s">
        <v>1771</v>
      </c>
      <c r="X21" s="877">
        <v>10.99</v>
      </c>
      <c r="Y21" s="845" t="s">
        <v>298</v>
      </c>
      <c r="Z21" s="877">
        <v>10.99</v>
      </c>
      <c r="AA21" s="877">
        <v>200</v>
      </c>
      <c r="AB21" s="748">
        <v>139</v>
      </c>
      <c r="AC21" s="845" t="s">
        <v>1777</v>
      </c>
      <c r="AD21" s="845">
        <v>15</v>
      </c>
      <c r="AE21" s="845" t="s">
        <v>1778</v>
      </c>
      <c r="AF21" s="845" t="s">
        <v>1779</v>
      </c>
      <c r="AG21" s="877">
        <v>8.9</v>
      </c>
      <c r="AH21" s="845" t="s">
        <v>2570</v>
      </c>
      <c r="AI21" s="877">
        <v>10.55</v>
      </c>
      <c r="AJ21" s="745">
        <v>5227.32</v>
      </c>
      <c r="AK21" s="748">
        <v>180</v>
      </c>
      <c r="AL21" s="845" t="s">
        <v>1759</v>
      </c>
      <c r="AM21" s="845">
        <v>20</v>
      </c>
      <c r="AN21" s="845" t="s">
        <v>714</v>
      </c>
      <c r="AO21" s="845" t="s">
        <v>715</v>
      </c>
      <c r="AP21" s="877">
        <v>9.25</v>
      </c>
      <c r="AQ21" s="845" t="s">
        <v>298</v>
      </c>
      <c r="AR21" s="877">
        <v>9.25</v>
      </c>
      <c r="AS21" s="877">
        <v>125</v>
      </c>
      <c r="AT21" s="901">
        <v>221</v>
      </c>
      <c r="AU21" s="845" t="s">
        <v>1760</v>
      </c>
      <c r="AV21" s="845">
        <v>20</v>
      </c>
      <c r="AW21" s="845" t="s">
        <v>1074</v>
      </c>
      <c r="AX21" s="845" t="s">
        <v>1075</v>
      </c>
      <c r="AY21" s="877">
        <v>12.24</v>
      </c>
      <c r="AZ21" s="845" t="s">
        <v>298</v>
      </c>
      <c r="BA21" s="877">
        <v>12.24</v>
      </c>
      <c r="BB21" s="877">
        <v>150</v>
      </c>
      <c r="BC21" s="267"/>
      <c r="BD21" s="168"/>
      <c r="BE21" s="168"/>
      <c r="BF21" s="168"/>
      <c r="BG21" s="168"/>
      <c r="BH21" s="168"/>
      <c r="BI21" s="168"/>
      <c r="BJ21" s="168"/>
      <c r="BK21" s="256"/>
      <c r="BL21" s="224"/>
      <c r="BM21" s="168"/>
      <c r="BN21" s="168"/>
    </row>
    <row r="22" spans="1:72" s="265" customFormat="1" ht="13.35" customHeight="1">
      <c r="A22" s="267">
        <v>17</v>
      </c>
      <c r="B22" s="895" t="s">
        <v>1861</v>
      </c>
      <c r="C22" s="819">
        <v>5</v>
      </c>
      <c r="D22" s="819" t="s">
        <v>1862</v>
      </c>
      <c r="E22" s="819" t="s">
        <v>1863</v>
      </c>
      <c r="F22" s="670">
        <v>8.1199999999999992</v>
      </c>
      <c r="G22" s="819" t="s">
        <v>298</v>
      </c>
      <c r="H22" s="670">
        <v>8.1199999999999992</v>
      </c>
      <c r="I22" s="670">
        <v>4500</v>
      </c>
      <c r="J22" s="224">
        <v>58</v>
      </c>
      <c r="K22" s="819" t="s">
        <v>1998</v>
      </c>
      <c r="L22" s="819">
        <v>10</v>
      </c>
      <c r="M22" s="819" t="s">
        <v>1999</v>
      </c>
      <c r="N22" s="819" t="s">
        <v>2000</v>
      </c>
      <c r="O22" s="670">
        <v>5.8</v>
      </c>
      <c r="P22" s="819" t="s">
        <v>2016</v>
      </c>
      <c r="Q22" s="670">
        <v>5.38</v>
      </c>
      <c r="R22" s="670">
        <v>4500</v>
      </c>
      <c r="S22" s="224">
        <v>99</v>
      </c>
      <c r="T22" s="819" t="s">
        <v>1776</v>
      </c>
      <c r="U22" s="819">
        <v>15</v>
      </c>
      <c r="V22" s="819" t="s">
        <v>1031</v>
      </c>
      <c r="W22" s="819" t="s">
        <v>1032</v>
      </c>
      <c r="X22" s="670">
        <v>11</v>
      </c>
      <c r="Y22" s="819" t="s">
        <v>298</v>
      </c>
      <c r="Z22" s="670">
        <v>11</v>
      </c>
      <c r="AA22" s="670">
        <v>200</v>
      </c>
      <c r="AB22" s="224">
        <v>140</v>
      </c>
      <c r="AC22" s="819" t="s">
        <v>1785</v>
      </c>
      <c r="AD22" s="819">
        <v>15</v>
      </c>
      <c r="AE22" s="819" t="s">
        <v>1662</v>
      </c>
      <c r="AF22" s="819" t="s">
        <v>1663</v>
      </c>
      <c r="AG22" s="670">
        <v>8.6999999999999993</v>
      </c>
      <c r="AH22" s="819" t="s">
        <v>2778</v>
      </c>
      <c r="AI22" s="670">
        <v>12</v>
      </c>
      <c r="AJ22" s="810">
        <f>241.15+4713.11+361.83</f>
        <v>5316.0899999999992</v>
      </c>
      <c r="AK22" s="224">
        <v>181</v>
      </c>
      <c r="AL22" s="819" t="s">
        <v>1763</v>
      </c>
      <c r="AM22" s="819">
        <v>20</v>
      </c>
      <c r="AN22" s="819" t="s">
        <v>716</v>
      </c>
      <c r="AO22" s="819" t="s">
        <v>717</v>
      </c>
      <c r="AP22" s="670">
        <v>9.25</v>
      </c>
      <c r="AQ22" s="819" t="s">
        <v>298</v>
      </c>
      <c r="AR22" s="670">
        <v>9.25</v>
      </c>
      <c r="AS22" s="670">
        <v>125</v>
      </c>
      <c r="AT22" s="242">
        <v>222</v>
      </c>
      <c r="AU22" s="819" t="s">
        <v>1764</v>
      </c>
      <c r="AV22" s="819">
        <v>20</v>
      </c>
      <c r="AW22" s="819" t="s">
        <v>1080</v>
      </c>
      <c r="AX22" s="819" t="s">
        <v>1084</v>
      </c>
      <c r="AY22" s="670">
        <v>12.139999999999999</v>
      </c>
      <c r="AZ22" s="819" t="s">
        <v>298</v>
      </c>
      <c r="BA22" s="670">
        <v>12.139999999999999</v>
      </c>
      <c r="BB22" s="670">
        <v>300</v>
      </c>
      <c r="BC22" s="367"/>
      <c r="BD22" s="819"/>
      <c r="BE22" s="670"/>
      <c r="BF22" s="819"/>
      <c r="BG22" s="367"/>
      <c r="BH22" s="367"/>
      <c r="BI22" s="367"/>
      <c r="BJ22" s="571"/>
      <c r="BK22" s="527"/>
      <c r="BL22" s="224"/>
      <c r="BM22" s="168"/>
      <c r="BN22" s="168"/>
      <c r="BO22" s="168"/>
      <c r="BP22" s="168"/>
      <c r="BQ22" s="168"/>
      <c r="BR22" s="168"/>
      <c r="BS22" s="168"/>
      <c r="BT22" s="168"/>
    </row>
    <row r="23" spans="1:72" s="265" customFormat="1" ht="13.35" customHeight="1">
      <c r="A23" s="309">
        <v>18</v>
      </c>
      <c r="B23" s="897" t="s">
        <v>1871</v>
      </c>
      <c r="C23" s="897">
        <v>5</v>
      </c>
      <c r="D23" s="897" t="s">
        <v>1658</v>
      </c>
      <c r="E23" s="998" t="s">
        <v>1659</v>
      </c>
      <c r="F23" s="745">
        <v>8.0500000000000007</v>
      </c>
      <c r="G23" s="845" t="s">
        <v>1257</v>
      </c>
      <c r="H23" s="745">
        <v>4.05</v>
      </c>
      <c r="I23" s="745">
        <v>4500</v>
      </c>
      <c r="J23" s="748">
        <v>59</v>
      </c>
      <c r="K23" s="845" t="s">
        <v>2068</v>
      </c>
      <c r="L23" s="845">
        <v>10</v>
      </c>
      <c r="M23" s="845" t="s">
        <v>2069</v>
      </c>
      <c r="N23" s="845" t="s">
        <v>2070</v>
      </c>
      <c r="O23" s="877">
        <v>5.4</v>
      </c>
      <c r="P23" s="845" t="s">
        <v>2072</v>
      </c>
      <c r="Q23" s="877">
        <v>6.33</v>
      </c>
      <c r="R23" s="877">
        <v>4000</v>
      </c>
      <c r="S23" s="748">
        <v>100</v>
      </c>
      <c r="T23" s="845" t="s">
        <v>1782</v>
      </c>
      <c r="U23" s="845">
        <v>15</v>
      </c>
      <c r="V23" s="845" t="s">
        <v>1783</v>
      </c>
      <c r="W23" s="845" t="s">
        <v>1784</v>
      </c>
      <c r="X23" s="877">
        <v>11</v>
      </c>
      <c r="Y23" s="845" t="s">
        <v>298</v>
      </c>
      <c r="Z23" s="877">
        <v>11</v>
      </c>
      <c r="AA23" s="877">
        <v>200</v>
      </c>
      <c r="AB23" s="748">
        <v>141</v>
      </c>
      <c r="AC23" s="845" t="s">
        <v>2021</v>
      </c>
      <c r="AD23" s="845">
        <v>15</v>
      </c>
      <c r="AE23" s="845" t="s">
        <v>2022</v>
      </c>
      <c r="AF23" s="845" t="s">
        <v>2023</v>
      </c>
      <c r="AG23" s="877">
        <v>5.65</v>
      </c>
      <c r="AH23" s="845" t="s">
        <v>298</v>
      </c>
      <c r="AI23" s="877">
        <v>5.65</v>
      </c>
      <c r="AJ23" s="877">
        <v>4500</v>
      </c>
      <c r="AK23" s="748">
        <v>182</v>
      </c>
      <c r="AL23" s="845" t="s">
        <v>1767</v>
      </c>
      <c r="AM23" s="845">
        <v>20</v>
      </c>
      <c r="AN23" s="845" t="s">
        <v>718</v>
      </c>
      <c r="AO23" s="845" t="s">
        <v>719</v>
      </c>
      <c r="AP23" s="877">
        <v>9.4499999999999993</v>
      </c>
      <c r="AQ23" s="845" t="s">
        <v>298</v>
      </c>
      <c r="AR23" s="877">
        <v>9.4499999999999993</v>
      </c>
      <c r="AS23" s="877">
        <v>125</v>
      </c>
      <c r="AT23" s="748">
        <v>223</v>
      </c>
      <c r="AU23" s="845" t="s">
        <v>1768</v>
      </c>
      <c r="AV23" s="845">
        <v>20</v>
      </c>
      <c r="AW23" s="845" t="s">
        <v>1082</v>
      </c>
      <c r="AX23" s="845" t="s">
        <v>1085</v>
      </c>
      <c r="AY23" s="877">
        <v>12.139999999999999</v>
      </c>
      <c r="AZ23" s="845" t="s">
        <v>298</v>
      </c>
      <c r="BA23" s="877">
        <v>12.139999999999999</v>
      </c>
      <c r="BB23" s="877">
        <v>300</v>
      </c>
      <c r="BC23" s="367"/>
      <c r="BD23" s="819"/>
      <c r="BE23" s="819"/>
      <c r="BF23" s="819"/>
      <c r="BG23" s="367"/>
      <c r="BH23" s="367"/>
      <c r="BI23" s="367"/>
      <c r="BJ23" s="571"/>
      <c r="BK23" s="527"/>
      <c r="BL23" s="224"/>
      <c r="BM23" s="168"/>
      <c r="BN23" s="168"/>
      <c r="BO23" s="168"/>
      <c r="BP23" s="168"/>
      <c r="BQ23" s="168"/>
      <c r="BR23" s="168"/>
      <c r="BS23" s="168"/>
      <c r="BT23" s="168"/>
    </row>
    <row r="24" spans="1:72" s="265" customFormat="1" ht="13.35" customHeight="1">
      <c r="A24" s="29">
        <v>19</v>
      </c>
      <c r="B24" s="895" t="s">
        <v>1882</v>
      </c>
      <c r="C24" s="819">
        <v>5</v>
      </c>
      <c r="D24" s="819" t="s">
        <v>1670</v>
      </c>
      <c r="E24" s="670" t="s">
        <v>1671</v>
      </c>
      <c r="F24" s="670">
        <v>7.19</v>
      </c>
      <c r="G24" s="819" t="s">
        <v>1232</v>
      </c>
      <c r="H24" s="670">
        <v>6.74</v>
      </c>
      <c r="I24" s="670">
        <v>4500</v>
      </c>
      <c r="J24" s="224">
        <v>60</v>
      </c>
      <c r="K24" s="819" t="s">
        <v>2095</v>
      </c>
      <c r="L24" s="819">
        <v>10</v>
      </c>
      <c r="M24" s="819" t="s">
        <v>2096</v>
      </c>
      <c r="N24" s="819" t="s">
        <v>2097</v>
      </c>
      <c r="O24" s="670">
        <v>6.8</v>
      </c>
      <c r="P24" s="819" t="s">
        <v>2136</v>
      </c>
      <c r="Q24" s="670">
        <v>7.4</v>
      </c>
      <c r="R24" s="670">
        <v>4500</v>
      </c>
      <c r="S24" s="224">
        <v>101</v>
      </c>
      <c r="T24" s="819" t="s">
        <v>1788</v>
      </c>
      <c r="U24" s="819">
        <v>15</v>
      </c>
      <c r="V24" s="819" t="s">
        <v>1033</v>
      </c>
      <c r="W24" s="819" t="s">
        <v>1034</v>
      </c>
      <c r="X24" s="670">
        <v>11.5</v>
      </c>
      <c r="Y24" s="819" t="s">
        <v>298</v>
      </c>
      <c r="Z24" s="670">
        <v>11.5</v>
      </c>
      <c r="AA24" s="670">
        <v>275</v>
      </c>
      <c r="AB24" s="224">
        <v>142</v>
      </c>
      <c r="AC24" s="819" t="s">
        <v>2259</v>
      </c>
      <c r="AD24" s="819">
        <v>15</v>
      </c>
      <c r="AE24" s="819" t="s">
        <v>2260</v>
      </c>
      <c r="AF24" s="819" t="s">
        <v>2261</v>
      </c>
      <c r="AG24" s="670">
        <v>7.98</v>
      </c>
      <c r="AH24" s="819" t="s">
        <v>2455</v>
      </c>
      <c r="AI24" s="670">
        <v>8.68</v>
      </c>
      <c r="AJ24" s="670">
        <v>4778</v>
      </c>
      <c r="AK24" s="969">
        <v>183</v>
      </c>
      <c r="AL24" s="819" t="s">
        <v>1774</v>
      </c>
      <c r="AM24" s="819">
        <v>20</v>
      </c>
      <c r="AN24" s="670" t="s">
        <v>720</v>
      </c>
      <c r="AO24" s="819" t="s">
        <v>1128</v>
      </c>
      <c r="AP24" s="670">
        <v>9.57</v>
      </c>
      <c r="AQ24" s="819" t="s">
        <v>298</v>
      </c>
      <c r="AR24" s="670">
        <v>9.57</v>
      </c>
      <c r="AS24" s="670">
        <v>125</v>
      </c>
      <c r="AT24" s="224">
        <v>224</v>
      </c>
      <c r="AU24" s="819" t="s">
        <v>1775</v>
      </c>
      <c r="AV24" s="819">
        <v>20</v>
      </c>
      <c r="AW24" s="819" t="s">
        <v>1087</v>
      </c>
      <c r="AX24" s="819" t="s">
        <v>1088</v>
      </c>
      <c r="AY24" s="670">
        <v>12.139999999999999</v>
      </c>
      <c r="AZ24" s="819" t="s">
        <v>298</v>
      </c>
      <c r="BA24" s="670">
        <v>12.139999999999999</v>
      </c>
      <c r="BB24" s="670">
        <v>350</v>
      </c>
      <c r="BC24" s="367"/>
      <c r="BD24" s="819"/>
      <c r="BE24" s="819"/>
      <c r="BF24" s="819"/>
      <c r="BG24" s="367"/>
      <c r="BH24" s="367"/>
      <c r="BI24" s="367"/>
      <c r="BJ24" s="571"/>
      <c r="BK24" s="527"/>
      <c r="BL24" s="224"/>
      <c r="BM24" s="168"/>
      <c r="BN24" s="168"/>
      <c r="BO24" s="168"/>
      <c r="BP24" s="168"/>
      <c r="BQ24" s="168"/>
      <c r="BR24" s="168"/>
      <c r="BS24" s="168"/>
      <c r="BT24" s="168"/>
    </row>
    <row r="25" spans="1:72" s="168" customFormat="1" ht="13.35" customHeight="1">
      <c r="A25" s="313">
        <v>20</v>
      </c>
      <c r="B25" s="897" t="s">
        <v>1955</v>
      </c>
      <c r="C25" s="845">
        <v>5</v>
      </c>
      <c r="D25" s="845" t="s">
        <v>1956</v>
      </c>
      <c r="E25" s="877" t="s">
        <v>1957</v>
      </c>
      <c r="F25" s="877">
        <v>4.3600000000000003</v>
      </c>
      <c r="G25" s="845" t="s">
        <v>1256</v>
      </c>
      <c r="H25" s="877">
        <v>5</v>
      </c>
      <c r="I25" s="877">
        <v>4000</v>
      </c>
      <c r="J25" s="748">
        <v>61</v>
      </c>
      <c r="K25" s="845" t="s">
        <v>2218</v>
      </c>
      <c r="L25" s="845">
        <v>10</v>
      </c>
      <c r="M25" s="877" t="s">
        <v>2219</v>
      </c>
      <c r="N25" s="877" t="s">
        <v>2220</v>
      </c>
      <c r="O25" s="877">
        <v>7.1</v>
      </c>
      <c r="P25" s="845" t="s">
        <v>2258</v>
      </c>
      <c r="Q25" s="877">
        <v>7.75</v>
      </c>
      <c r="R25" s="877">
        <v>4500</v>
      </c>
      <c r="S25" s="748">
        <v>102</v>
      </c>
      <c r="T25" s="845" t="s">
        <v>1794</v>
      </c>
      <c r="U25" s="845">
        <v>15</v>
      </c>
      <c r="V25" s="845" t="s">
        <v>1035</v>
      </c>
      <c r="W25" s="845" t="s">
        <v>1036</v>
      </c>
      <c r="X25" s="877">
        <v>11.6</v>
      </c>
      <c r="Y25" s="845" t="s">
        <v>298</v>
      </c>
      <c r="Z25" s="877">
        <v>11.6</v>
      </c>
      <c r="AA25" s="877">
        <v>275</v>
      </c>
      <c r="AB25" s="972">
        <v>143</v>
      </c>
      <c r="AC25" s="845" t="s">
        <v>2296</v>
      </c>
      <c r="AD25" s="845">
        <v>15</v>
      </c>
      <c r="AE25" s="845" t="s">
        <v>2294</v>
      </c>
      <c r="AF25" s="845" t="s">
        <v>2297</v>
      </c>
      <c r="AG25" s="877">
        <v>8.5500000000000007</v>
      </c>
      <c r="AH25" s="845" t="s">
        <v>2659</v>
      </c>
      <c r="AI25" s="877">
        <v>11.13</v>
      </c>
      <c r="AJ25" s="877">
        <f>601.99+4416.47</f>
        <v>5018.46</v>
      </c>
      <c r="AK25" s="748">
        <v>184</v>
      </c>
      <c r="AL25" s="845" t="s">
        <v>1780</v>
      </c>
      <c r="AM25" s="845">
        <v>20</v>
      </c>
      <c r="AN25" s="877" t="s">
        <v>721</v>
      </c>
      <c r="AO25" s="845" t="s">
        <v>722</v>
      </c>
      <c r="AP25" s="877">
        <v>9.6</v>
      </c>
      <c r="AQ25" s="845" t="s">
        <v>298</v>
      </c>
      <c r="AR25" s="877">
        <v>9.6</v>
      </c>
      <c r="AS25" s="877">
        <v>150</v>
      </c>
      <c r="AT25" s="748">
        <v>225</v>
      </c>
      <c r="AU25" s="845" t="s">
        <v>1781</v>
      </c>
      <c r="AV25" s="845">
        <v>20</v>
      </c>
      <c r="AW25" s="845" t="s">
        <v>1090</v>
      </c>
      <c r="AX25" s="845" t="s">
        <v>1089</v>
      </c>
      <c r="AY25" s="877">
        <v>12.120000000000001</v>
      </c>
      <c r="AZ25" s="845" t="s">
        <v>298</v>
      </c>
      <c r="BA25" s="877">
        <v>12.120000000000001</v>
      </c>
      <c r="BB25" s="877">
        <v>350</v>
      </c>
      <c r="BC25" s="367"/>
      <c r="BD25" s="819"/>
      <c r="BE25" s="819"/>
      <c r="BF25" s="819"/>
      <c r="BG25" s="367"/>
      <c r="BH25" s="367"/>
      <c r="BI25" s="367"/>
      <c r="BJ25" s="571"/>
      <c r="BK25" s="527"/>
      <c r="BL25" s="366"/>
    </row>
    <row r="26" spans="1:72" s="168" customFormat="1" ht="13.35" customHeight="1">
      <c r="A26" s="1002">
        <v>21</v>
      </c>
      <c r="B26" s="895" t="s">
        <v>1967</v>
      </c>
      <c r="C26" s="819">
        <v>5</v>
      </c>
      <c r="D26" s="819" t="s">
        <v>1239</v>
      </c>
      <c r="E26" s="670" t="s">
        <v>1968</v>
      </c>
      <c r="F26" s="670">
        <v>4.6399999999999997</v>
      </c>
      <c r="G26" s="819" t="s">
        <v>1258</v>
      </c>
      <c r="H26" s="670">
        <v>4.25</v>
      </c>
      <c r="I26" s="670">
        <v>4000</v>
      </c>
      <c r="J26" s="224">
        <v>62</v>
      </c>
      <c r="K26" s="819" t="s">
        <v>2265</v>
      </c>
      <c r="L26" s="819">
        <v>10</v>
      </c>
      <c r="M26" s="670" t="s">
        <v>2266</v>
      </c>
      <c r="N26" s="670" t="s">
        <v>2267</v>
      </c>
      <c r="O26" s="670">
        <v>8</v>
      </c>
      <c r="P26" s="819" t="s">
        <v>2356</v>
      </c>
      <c r="Q26" s="670">
        <v>8.17</v>
      </c>
      <c r="R26" s="670">
        <v>4300</v>
      </c>
      <c r="S26" s="969">
        <v>103</v>
      </c>
      <c r="T26" s="819" t="s">
        <v>1800</v>
      </c>
      <c r="U26" s="819">
        <v>15</v>
      </c>
      <c r="V26" s="819" t="s">
        <v>1037</v>
      </c>
      <c r="W26" s="819" t="s">
        <v>1038</v>
      </c>
      <c r="X26" s="670">
        <v>11.65</v>
      </c>
      <c r="Y26" s="819" t="s">
        <v>298</v>
      </c>
      <c r="Z26" s="670">
        <v>11.65</v>
      </c>
      <c r="AA26" s="670">
        <v>275</v>
      </c>
      <c r="AB26" s="224">
        <v>144</v>
      </c>
      <c r="AC26" s="819" t="s">
        <v>1789</v>
      </c>
      <c r="AD26" s="819">
        <v>20</v>
      </c>
      <c r="AE26" s="819" t="s">
        <v>1790</v>
      </c>
      <c r="AF26" s="819" t="s">
        <v>1791</v>
      </c>
      <c r="AG26" s="670">
        <v>15.950000000000001</v>
      </c>
      <c r="AH26" s="819" t="s">
        <v>298</v>
      </c>
      <c r="AI26" s="670">
        <v>15.950000000000001</v>
      </c>
      <c r="AJ26" s="670">
        <v>50</v>
      </c>
      <c r="AK26" s="224">
        <v>185</v>
      </c>
      <c r="AL26" s="819" t="s">
        <v>1786</v>
      </c>
      <c r="AM26" s="819">
        <v>20</v>
      </c>
      <c r="AN26" s="670" t="s">
        <v>723</v>
      </c>
      <c r="AO26" s="819" t="s">
        <v>724</v>
      </c>
      <c r="AP26" s="670">
        <v>9.6</v>
      </c>
      <c r="AQ26" s="819" t="s">
        <v>298</v>
      </c>
      <c r="AR26" s="670">
        <v>9.6</v>
      </c>
      <c r="AS26" s="670">
        <v>150</v>
      </c>
      <c r="AT26" s="224">
        <v>226</v>
      </c>
      <c r="AU26" s="819" t="s">
        <v>1787</v>
      </c>
      <c r="AV26" s="819">
        <v>20</v>
      </c>
      <c r="AW26" s="819" t="s">
        <v>1106</v>
      </c>
      <c r="AX26" s="819" t="s">
        <v>1110</v>
      </c>
      <c r="AY26" s="670">
        <v>12.1</v>
      </c>
      <c r="AZ26" s="819" t="s">
        <v>298</v>
      </c>
      <c r="BA26" s="670">
        <v>12.1</v>
      </c>
      <c r="BB26" s="670">
        <v>250</v>
      </c>
      <c r="BC26" s="367"/>
      <c r="BD26" s="819"/>
      <c r="BE26" s="819"/>
      <c r="BF26" s="819"/>
      <c r="BG26" s="367"/>
      <c r="BH26" s="367"/>
      <c r="BI26" s="367"/>
      <c r="BJ26" s="571"/>
      <c r="BK26" s="527"/>
      <c r="BL26" s="366"/>
    </row>
    <row r="27" spans="1:72" s="168" customFormat="1" ht="13.35" customHeight="1">
      <c r="A27" s="973">
        <v>22</v>
      </c>
      <c r="B27" s="897" t="s">
        <v>1991</v>
      </c>
      <c r="C27" s="845">
        <v>5</v>
      </c>
      <c r="D27" s="845" t="s">
        <v>1992</v>
      </c>
      <c r="E27" s="845" t="s">
        <v>1993</v>
      </c>
      <c r="F27" s="877">
        <v>4.25</v>
      </c>
      <c r="G27" s="845" t="s">
        <v>2066</v>
      </c>
      <c r="H27" s="877">
        <v>4.1399999999999997</v>
      </c>
      <c r="I27" s="877">
        <v>4500</v>
      </c>
      <c r="J27" s="972">
        <v>63</v>
      </c>
      <c r="K27" s="845" t="s">
        <v>2290</v>
      </c>
      <c r="L27" s="845">
        <v>10</v>
      </c>
      <c r="M27" s="845" t="s">
        <v>2291</v>
      </c>
      <c r="N27" s="845" t="s">
        <v>2292</v>
      </c>
      <c r="O27" s="877">
        <v>8.1</v>
      </c>
      <c r="P27" s="845" t="s">
        <v>2307</v>
      </c>
      <c r="Q27" s="877">
        <v>7.89</v>
      </c>
      <c r="R27" s="877">
        <v>4500</v>
      </c>
      <c r="S27" s="748">
        <v>104</v>
      </c>
      <c r="T27" s="845" t="s">
        <v>1804</v>
      </c>
      <c r="U27" s="845">
        <v>15</v>
      </c>
      <c r="V27" s="845" t="s">
        <v>990</v>
      </c>
      <c r="W27" s="845" t="s">
        <v>991</v>
      </c>
      <c r="X27" s="877">
        <v>11.7</v>
      </c>
      <c r="Y27" s="845" t="s">
        <v>298</v>
      </c>
      <c r="Z27" s="877">
        <v>11.7</v>
      </c>
      <c r="AA27" s="877">
        <v>500</v>
      </c>
      <c r="AB27" s="748">
        <v>145</v>
      </c>
      <c r="AC27" s="845" t="s">
        <v>1795</v>
      </c>
      <c r="AD27" s="845">
        <v>20</v>
      </c>
      <c r="AE27" s="845" t="s">
        <v>1796</v>
      </c>
      <c r="AF27" s="845" t="s">
        <v>1797</v>
      </c>
      <c r="AG27" s="877">
        <v>15.440000000000001</v>
      </c>
      <c r="AH27" s="845" t="s">
        <v>298</v>
      </c>
      <c r="AI27" s="877">
        <v>15.440000000000001</v>
      </c>
      <c r="AJ27" s="877">
        <v>50</v>
      </c>
      <c r="AK27" s="748">
        <v>186</v>
      </c>
      <c r="AL27" s="845" t="s">
        <v>1792</v>
      </c>
      <c r="AM27" s="845">
        <v>20</v>
      </c>
      <c r="AN27" s="845" t="s">
        <v>725</v>
      </c>
      <c r="AO27" s="845" t="s">
        <v>726</v>
      </c>
      <c r="AP27" s="877">
        <v>9.6300000000000008</v>
      </c>
      <c r="AQ27" s="845" t="s">
        <v>298</v>
      </c>
      <c r="AR27" s="877">
        <v>9.6300000000000008</v>
      </c>
      <c r="AS27" s="877">
        <v>160</v>
      </c>
      <c r="AT27" s="748">
        <v>227</v>
      </c>
      <c r="AU27" s="845" t="s">
        <v>1793</v>
      </c>
      <c r="AV27" s="845">
        <v>20</v>
      </c>
      <c r="AW27" s="845" t="s">
        <v>1108</v>
      </c>
      <c r="AX27" s="845" t="s">
        <v>1111</v>
      </c>
      <c r="AY27" s="877">
        <v>11.89</v>
      </c>
      <c r="AZ27" s="845" t="s">
        <v>298</v>
      </c>
      <c r="BA27" s="877">
        <v>11.89</v>
      </c>
      <c r="BB27" s="877">
        <v>250</v>
      </c>
      <c r="BC27" s="367"/>
      <c r="BD27" s="819"/>
      <c r="BE27" s="819"/>
      <c r="BF27" s="819"/>
      <c r="BG27" s="367"/>
      <c r="BH27" s="367"/>
      <c r="BI27" s="367"/>
      <c r="BJ27" s="571"/>
      <c r="BK27" s="527"/>
      <c r="BL27" s="366"/>
      <c r="BM27" s="970"/>
      <c r="BN27" s="971"/>
      <c r="BO27" s="970"/>
      <c r="BP27" s="365"/>
      <c r="BQ27" s="365"/>
    </row>
    <row r="28" spans="1:72" s="168" customFormat="1" ht="13.35" customHeight="1">
      <c r="A28" s="251">
        <v>23</v>
      </c>
      <c r="B28" s="895" t="s">
        <v>2013</v>
      </c>
      <c r="C28" s="819">
        <v>5</v>
      </c>
      <c r="D28" s="819" t="s">
        <v>2014</v>
      </c>
      <c r="E28" s="819" t="s">
        <v>2015</v>
      </c>
      <c r="F28" s="670">
        <v>3.88</v>
      </c>
      <c r="G28" s="819" t="s">
        <v>2020</v>
      </c>
      <c r="H28" s="670">
        <v>3.9</v>
      </c>
      <c r="I28" s="670">
        <v>4500</v>
      </c>
      <c r="J28" s="224">
        <v>64</v>
      </c>
      <c r="K28" s="819" t="s">
        <v>2359</v>
      </c>
      <c r="L28" s="819">
        <v>10</v>
      </c>
      <c r="M28" s="819" t="s">
        <v>2360</v>
      </c>
      <c r="N28" s="819" t="s">
        <v>2361</v>
      </c>
      <c r="O28" s="670">
        <v>8.1</v>
      </c>
      <c r="P28" s="819" t="s">
        <v>2777</v>
      </c>
      <c r="Q28" s="670">
        <v>11.9</v>
      </c>
      <c r="R28" s="670">
        <f>4000+1445.45</f>
        <v>5445.45</v>
      </c>
      <c r="S28" s="224">
        <v>105</v>
      </c>
      <c r="T28" s="819" t="s">
        <v>1808</v>
      </c>
      <c r="U28" s="819">
        <v>15</v>
      </c>
      <c r="V28" s="819" t="s">
        <v>992</v>
      </c>
      <c r="W28" s="819" t="s">
        <v>993</v>
      </c>
      <c r="X28" s="670">
        <v>11.75</v>
      </c>
      <c r="Y28" s="819" t="s">
        <v>298</v>
      </c>
      <c r="Z28" s="670">
        <v>11.75</v>
      </c>
      <c r="AA28" s="670">
        <v>500</v>
      </c>
      <c r="AB28" s="224">
        <v>146</v>
      </c>
      <c r="AC28" s="819" t="s">
        <v>1801</v>
      </c>
      <c r="AD28" s="819">
        <v>20</v>
      </c>
      <c r="AE28" s="819" t="s">
        <v>482</v>
      </c>
      <c r="AF28" s="819" t="s">
        <v>485</v>
      </c>
      <c r="AG28" s="670">
        <v>14.23</v>
      </c>
      <c r="AH28" s="819" t="s">
        <v>298</v>
      </c>
      <c r="AI28" s="670">
        <v>14.23</v>
      </c>
      <c r="AJ28" s="670">
        <v>50</v>
      </c>
      <c r="AK28" s="224">
        <v>187</v>
      </c>
      <c r="AL28" s="819" t="s">
        <v>1798</v>
      </c>
      <c r="AM28" s="819">
        <v>20</v>
      </c>
      <c r="AN28" s="819" t="s">
        <v>729</v>
      </c>
      <c r="AO28" s="819" t="s">
        <v>730</v>
      </c>
      <c r="AP28" s="670">
        <v>9.65</v>
      </c>
      <c r="AQ28" s="819" t="s">
        <v>298</v>
      </c>
      <c r="AR28" s="670">
        <v>9.65</v>
      </c>
      <c r="AS28" s="670">
        <v>175</v>
      </c>
      <c r="AT28" s="969">
        <v>228</v>
      </c>
      <c r="AU28" s="819" t="s">
        <v>1799</v>
      </c>
      <c r="AV28" s="819">
        <v>20</v>
      </c>
      <c r="AW28" s="819" t="s">
        <v>1112</v>
      </c>
      <c r="AX28" s="819" t="s">
        <v>1114</v>
      </c>
      <c r="AY28" s="670">
        <v>11.98</v>
      </c>
      <c r="AZ28" s="819" t="s">
        <v>298</v>
      </c>
      <c r="BA28" s="670">
        <v>11.98</v>
      </c>
      <c r="BB28" s="670">
        <v>250</v>
      </c>
      <c r="BC28" s="367"/>
      <c r="BD28" s="819"/>
      <c r="BE28" s="819"/>
      <c r="BF28" s="819"/>
      <c r="BG28" s="367"/>
      <c r="BH28" s="367"/>
      <c r="BI28" s="367"/>
      <c r="BJ28" s="571"/>
      <c r="BK28" s="527"/>
      <c r="BL28" s="366"/>
      <c r="BM28" s="970"/>
      <c r="BN28" s="971"/>
      <c r="BO28" s="970"/>
      <c r="BP28" s="365"/>
      <c r="BQ28" s="365"/>
    </row>
    <row r="29" spans="1:72" s="168" customFormat="1" ht="13.35" customHeight="1">
      <c r="A29" s="974">
        <v>24</v>
      </c>
      <c r="B29" s="897" t="s">
        <v>2073</v>
      </c>
      <c r="C29" s="845">
        <v>5</v>
      </c>
      <c r="D29" s="845" t="s">
        <v>2074</v>
      </c>
      <c r="E29" s="845" t="s">
        <v>2075</v>
      </c>
      <c r="F29" s="877">
        <v>4.97</v>
      </c>
      <c r="G29" s="863" t="s">
        <v>2135</v>
      </c>
      <c r="H29" s="559">
        <v>6.5</v>
      </c>
      <c r="I29" s="559">
        <v>4063.34</v>
      </c>
      <c r="J29" s="748">
        <v>65</v>
      </c>
      <c r="K29" s="845" t="s">
        <v>2399</v>
      </c>
      <c r="L29" s="845">
        <v>10</v>
      </c>
      <c r="M29" s="845" t="s">
        <v>2400</v>
      </c>
      <c r="N29" s="845" t="s">
        <v>2401</v>
      </c>
      <c r="O29" s="877">
        <v>8.33</v>
      </c>
      <c r="P29" s="845" t="s">
        <v>2426</v>
      </c>
      <c r="Q29" s="877">
        <v>8.33</v>
      </c>
      <c r="R29" s="877">
        <v>5500</v>
      </c>
      <c r="S29" s="748">
        <v>106</v>
      </c>
      <c r="T29" s="845" t="s">
        <v>1812</v>
      </c>
      <c r="U29" s="845">
        <v>15</v>
      </c>
      <c r="V29" s="845" t="s">
        <v>994</v>
      </c>
      <c r="W29" s="845" t="s">
        <v>995</v>
      </c>
      <c r="X29" s="877">
        <v>11.8</v>
      </c>
      <c r="Y29" s="845" t="s">
        <v>298</v>
      </c>
      <c r="Z29" s="877">
        <v>11.8</v>
      </c>
      <c r="AA29" s="877">
        <v>500</v>
      </c>
      <c r="AB29" s="748">
        <v>147</v>
      </c>
      <c r="AC29" s="877" t="s">
        <v>1805</v>
      </c>
      <c r="AD29" s="845">
        <v>20</v>
      </c>
      <c r="AE29" s="845" t="s">
        <v>483</v>
      </c>
      <c r="AF29" s="845" t="s">
        <v>486</v>
      </c>
      <c r="AG29" s="877">
        <v>13.88</v>
      </c>
      <c r="AH29" s="845" t="s">
        <v>298</v>
      </c>
      <c r="AI29" s="877">
        <v>13.88</v>
      </c>
      <c r="AJ29" s="877">
        <v>50</v>
      </c>
      <c r="AK29" s="748">
        <v>188</v>
      </c>
      <c r="AL29" s="845" t="s">
        <v>1802</v>
      </c>
      <c r="AM29" s="845">
        <v>20</v>
      </c>
      <c r="AN29" s="845" t="s">
        <v>1269</v>
      </c>
      <c r="AO29" s="845" t="s">
        <v>1262</v>
      </c>
      <c r="AP29" s="877">
        <v>9.65</v>
      </c>
      <c r="AQ29" s="845" t="s">
        <v>298</v>
      </c>
      <c r="AR29" s="877">
        <v>9.65</v>
      </c>
      <c r="AS29" s="877">
        <v>175</v>
      </c>
      <c r="AT29" s="748">
        <v>229</v>
      </c>
      <c r="AU29" s="845" t="s">
        <v>1803</v>
      </c>
      <c r="AV29" s="845">
        <v>20</v>
      </c>
      <c r="AW29" s="845" t="s">
        <v>1122</v>
      </c>
      <c r="AX29" s="845" t="s">
        <v>1127</v>
      </c>
      <c r="AY29" s="877">
        <v>11.98</v>
      </c>
      <c r="AZ29" s="845" t="s">
        <v>298</v>
      </c>
      <c r="BA29" s="877">
        <v>11.98</v>
      </c>
      <c r="BB29" s="877">
        <v>250</v>
      </c>
      <c r="BC29" s="367"/>
      <c r="BD29" s="819"/>
      <c r="BE29" s="819"/>
      <c r="BF29" s="819"/>
      <c r="BG29" s="367"/>
      <c r="BH29" s="367"/>
      <c r="BI29" s="367"/>
      <c r="BJ29" s="571"/>
      <c r="BK29" s="527"/>
      <c r="BL29" s="366"/>
      <c r="BM29" s="970"/>
      <c r="BN29" s="971"/>
      <c r="BO29" s="970"/>
      <c r="BP29" s="365"/>
      <c r="BQ29" s="365"/>
      <c r="BR29" s="250"/>
      <c r="BS29" s="250"/>
      <c r="BT29" s="250"/>
    </row>
    <row r="30" spans="1:72" s="168" customFormat="1" ht="13.35" customHeight="1">
      <c r="A30" s="251">
        <v>25</v>
      </c>
      <c r="B30" s="895" t="s">
        <v>2129</v>
      </c>
      <c r="C30" s="819">
        <v>5</v>
      </c>
      <c r="D30" s="819" t="s">
        <v>1022</v>
      </c>
      <c r="E30" s="670" t="s">
        <v>2130</v>
      </c>
      <c r="F30" s="670">
        <v>6.5</v>
      </c>
      <c r="G30" s="819" t="s">
        <v>2229</v>
      </c>
      <c r="H30" s="670">
        <v>5.75</v>
      </c>
      <c r="I30" s="670">
        <v>4500</v>
      </c>
      <c r="J30" s="224">
        <v>66</v>
      </c>
      <c r="K30" s="819" t="s">
        <v>2430</v>
      </c>
      <c r="L30" s="819">
        <v>10</v>
      </c>
      <c r="M30" s="819" t="s">
        <v>2431</v>
      </c>
      <c r="N30" s="819" t="s">
        <v>2432</v>
      </c>
      <c r="O30" s="670">
        <v>8.4499999999999993</v>
      </c>
      <c r="P30" s="819" t="s">
        <v>2446</v>
      </c>
      <c r="Q30" s="670">
        <v>8.6</v>
      </c>
      <c r="R30" s="670">
        <v>6000</v>
      </c>
      <c r="S30" s="224">
        <v>107</v>
      </c>
      <c r="T30" s="819" t="s">
        <v>1816</v>
      </c>
      <c r="U30" s="819">
        <v>15</v>
      </c>
      <c r="V30" s="819" t="s">
        <v>996</v>
      </c>
      <c r="W30" s="819" t="s">
        <v>997</v>
      </c>
      <c r="X30" s="670">
        <v>11.85</v>
      </c>
      <c r="Y30" s="819" t="s">
        <v>298</v>
      </c>
      <c r="Z30" s="670">
        <v>11.85</v>
      </c>
      <c r="AA30" s="670">
        <v>350</v>
      </c>
      <c r="AB30" s="224">
        <v>148</v>
      </c>
      <c r="AC30" s="819" t="s">
        <v>1809</v>
      </c>
      <c r="AD30" s="819">
        <v>20</v>
      </c>
      <c r="AE30" s="819" t="s">
        <v>484</v>
      </c>
      <c r="AF30" s="819" t="s">
        <v>487</v>
      </c>
      <c r="AG30" s="670">
        <v>13.489999999999998</v>
      </c>
      <c r="AH30" s="819" t="s">
        <v>298</v>
      </c>
      <c r="AI30" s="670">
        <v>13.489999999999998</v>
      </c>
      <c r="AJ30" s="670">
        <v>50</v>
      </c>
      <c r="AK30" s="224">
        <v>189</v>
      </c>
      <c r="AL30" s="819" t="s">
        <v>1806</v>
      </c>
      <c r="AM30" s="819">
        <v>20</v>
      </c>
      <c r="AN30" s="819" t="s">
        <v>1270</v>
      </c>
      <c r="AO30" s="819" t="s">
        <v>1267</v>
      </c>
      <c r="AP30" s="670">
        <v>9.65</v>
      </c>
      <c r="AQ30" s="819" t="s">
        <v>298</v>
      </c>
      <c r="AR30" s="670">
        <v>9.65</v>
      </c>
      <c r="AS30" s="670">
        <v>185</v>
      </c>
      <c r="AT30" s="224">
        <v>230</v>
      </c>
      <c r="AU30" s="819" t="s">
        <v>1807</v>
      </c>
      <c r="AV30" s="819">
        <v>20</v>
      </c>
      <c r="AW30" s="819" t="s">
        <v>1124</v>
      </c>
      <c r="AX30" s="819" t="s">
        <v>1126</v>
      </c>
      <c r="AY30" s="670">
        <v>11.98</v>
      </c>
      <c r="AZ30" s="819" t="s">
        <v>1750</v>
      </c>
      <c r="BA30" s="670">
        <v>11.97</v>
      </c>
      <c r="BB30" s="670">
        <v>680</v>
      </c>
      <c r="BC30" s="367"/>
      <c r="BD30" s="819"/>
      <c r="BE30" s="819"/>
      <c r="BF30" s="819"/>
      <c r="BG30" s="367"/>
      <c r="BH30" s="367"/>
      <c r="BI30" s="367"/>
      <c r="BJ30" s="571"/>
      <c r="BK30" s="975"/>
      <c r="BL30" s="366"/>
      <c r="BM30" s="970"/>
      <c r="BN30" s="971"/>
      <c r="BO30" s="970"/>
      <c r="BP30" s="365"/>
      <c r="BQ30" s="365"/>
      <c r="BR30" s="250"/>
      <c r="BS30" s="250"/>
      <c r="BT30" s="250"/>
    </row>
    <row r="31" spans="1:72" s="168" customFormat="1" ht="13.35" customHeight="1">
      <c r="A31" s="974">
        <v>26</v>
      </c>
      <c r="B31" s="897" t="s">
        <v>2233</v>
      </c>
      <c r="C31" s="845">
        <v>5</v>
      </c>
      <c r="D31" s="845" t="s">
        <v>2234</v>
      </c>
      <c r="E31" s="845" t="s">
        <v>2235</v>
      </c>
      <c r="F31" s="877">
        <v>6.25</v>
      </c>
      <c r="G31" s="845" t="s">
        <v>2377</v>
      </c>
      <c r="H31" s="877">
        <v>7.72</v>
      </c>
      <c r="I31" s="877">
        <v>5699.41</v>
      </c>
      <c r="J31" s="748">
        <v>67</v>
      </c>
      <c r="K31" s="863" t="s">
        <v>2521</v>
      </c>
      <c r="L31" s="863">
        <v>10</v>
      </c>
      <c r="M31" s="863" t="s">
        <v>2522</v>
      </c>
      <c r="N31" s="863" t="s">
        <v>2523</v>
      </c>
      <c r="O31" s="559">
        <v>9.1999999999999993</v>
      </c>
      <c r="P31" s="863" t="s">
        <v>2658</v>
      </c>
      <c r="Q31" s="559">
        <v>10.82</v>
      </c>
      <c r="R31" s="559">
        <v>5415.03</v>
      </c>
      <c r="S31" s="748">
        <v>108</v>
      </c>
      <c r="T31" s="845" t="s">
        <v>1820</v>
      </c>
      <c r="U31" s="845">
        <v>15</v>
      </c>
      <c r="V31" s="845" t="s">
        <v>998</v>
      </c>
      <c r="W31" s="845" t="s">
        <v>999</v>
      </c>
      <c r="X31" s="877">
        <v>11.88</v>
      </c>
      <c r="Y31" s="845" t="s">
        <v>298</v>
      </c>
      <c r="Z31" s="877">
        <v>11.88</v>
      </c>
      <c r="AA31" s="877">
        <v>350</v>
      </c>
      <c r="AB31" s="748">
        <v>149</v>
      </c>
      <c r="AC31" s="845" t="s">
        <v>1813</v>
      </c>
      <c r="AD31" s="845">
        <v>20</v>
      </c>
      <c r="AE31" s="845" t="s">
        <v>1978</v>
      </c>
      <c r="AF31" s="845" t="s">
        <v>1979</v>
      </c>
      <c r="AG31" s="877">
        <v>13.29</v>
      </c>
      <c r="AH31" s="845" t="s">
        <v>298</v>
      </c>
      <c r="AI31" s="877">
        <v>13.29</v>
      </c>
      <c r="AJ31" s="877">
        <v>50</v>
      </c>
      <c r="AK31" s="748">
        <v>190</v>
      </c>
      <c r="AL31" s="845" t="s">
        <v>1810</v>
      </c>
      <c r="AM31" s="845">
        <v>20</v>
      </c>
      <c r="AN31" s="845" t="s">
        <v>1271</v>
      </c>
      <c r="AO31" s="845" t="s">
        <v>1268</v>
      </c>
      <c r="AP31" s="877">
        <v>10</v>
      </c>
      <c r="AQ31" s="845" t="s">
        <v>298</v>
      </c>
      <c r="AR31" s="877">
        <v>10</v>
      </c>
      <c r="AS31" s="877">
        <v>150</v>
      </c>
      <c r="AT31" s="748">
        <v>231</v>
      </c>
      <c r="AU31" s="845" t="s">
        <v>1811</v>
      </c>
      <c r="AV31" s="845">
        <v>20</v>
      </c>
      <c r="AW31" s="845" t="s">
        <v>1233</v>
      </c>
      <c r="AX31" s="845" t="s">
        <v>1234</v>
      </c>
      <c r="AY31" s="877">
        <v>10.36</v>
      </c>
      <c r="AZ31" s="845" t="s">
        <v>1512</v>
      </c>
      <c r="BA31" s="877">
        <v>8.09</v>
      </c>
      <c r="BB31" s="877">
        <v>2600</v>
      </c>
      <c r="BC31" s="367"/>
      <c r="BD31" s="819"/>
      <c r="BE31" s="819"/>
      <c r="BF31" s="819"/>
      <c r="BG31" s="367"/>
      <c r="BH31" s="367"/>
      <c r="BI31" s="367"/>
      <c r="BJ31" s="571"/>
      <c r="BK31" s="975"/>
      <c r="BL31" s="366"/>
      <c r="BM31" s="970"/>
      <c r="BN31" s="971"/>
      <c r="BO31" s="970"/>
      <c r="BP31" s="365"/>
      <c r="BQ31" s="365"/>
    </row>
    <row r="32" spans="1:72" s="250" customFormat="1" ht="13.35" customHeight="1">
      <c r="A32" s="251">
        <v>27</v>
      </c>
      <c r="B32" s="895" t="s">
        <v>2268</v>
      </c>
      <c r="C32" s="819">
        <v>5</v>
      </c>
      <c r="D32" s="819" t="s">
        <v>2269</v>
      </c>
      <c r="E32" s="819" t="s">
        <v>2270</v>
      </c>
      <c r="F32" s="670">
        <v>7.7</v>
      </c>
      <c r="G32" s="819" t="s">
        <v>2289</v>
      </c>
      <c r="H32" s="670">
        <v>7.8</v>
      </c>
      <c r="I32" s="670">
        <v>4499.6000000000004</v>
      </c>
      <c r="J32" s="224">
        <v>68</v>
      </c>
      <c r="K32" s="820" t="s">
        <v>1824</v>
      </c>
      <c r="L32" s="820">
        <v>15</v>
      </c>
      <c r="M32" s="820" t="s">
        <v>664</v>
      </c>
      <c r="N32" s="820" t="s">
        <v>665</v>
      </c>
      <c r="O32" s="818">
        <v>12.14</v>
      </c>
      <c r="P32" s="820" t="s">
        <v>298</v>
      </c>
      <c r="Q32" s="818">
        <v>12.14</v>
      </c>
      <c r="R32" s="818">
        <v>150</v>
      </c>
      <c r="S32" s="224">
        <v>109</v>
      </c>
      <c r="T32" s="819" t="s">
        <v>2363</v>
      </c>
      <c r="U32" s="819">
        <v>15</v>
      </c>
      <c r="V32" s="819" t="s">
        <v>2364</v>
      </c>
      <c r="W32" s="819" t="s">
        <v>2365</v>
      </c>
      <c r="X32" s="670">
        <v>11.93</v>
      </c>
      <c r="Y32" s="819" t="s">
        <v>298</v>
      </c>
      <c r="Z32" s="670">
        <v>11.93</v>
      </c>
      <c r="AA32" s="670">
        <v>100</v>
      </c>
      <c r="AB32" s="224">
        <v>150</v>
      </c>
      <c r="AC32" s="819" t="s">
        <v>1817</v>
      </c>
      <c r="AD32" s="819">
        <v>20</v>
      </c>
      <c r="AE32" s="819" t="s">
        <v>31</v>
      </c>
      <c r="AF32" s="819" t="s">
        <v>43</v>
      </c>
      <c r="AG32" s="670">
        <v>13.19</v>
      </c>
      <c r="AH32" s="819" t="s">
        <v>298</v>
      </c>
      <c r="AI32" s="670">
        <v>13.19</v>
      </c>
      <c r="AJ32" s="670">
        <v>50</v>
      </c>
      <c r="AK32" s="224">
        <v>191</v>
      </c>
      <c r="AL32" s="819" t="s">
        <v>1814</v>
      </c>
      <c r="AM32" s="819">
        <v>20</v>
      </c>
      <c r="AN32" s="670" t="s">
        <v>1280</v>
      </c>
      <c r="AO32" s="819" t="s">
        <v>1272</v>
      </c>
      <c r="AP32" s="670">
        <v>10.25</v>
      </c>
      <c r="AQ32" s="819" t="s">
        <v>298</v>
      </c>
      <c r="AR32" s="670">
        <v>10.25</v>
      </c>
      <c r="AS32" s="670">
        <v>150</v>
      </c>
      <c r="AT32" s="224">
        <v>232</v>
      </c>
      <c r="AU32" s="819" t="s">
        <v>1815</v>
      </c>
      <c r="AV32" s="819">
        <v>20</v>
      </c>
      <c r="AW32" s="819" t="s">
        <v>1240</v>
      </c>
      <c r="AX32" s="819" t="s">
        <v>1241</v>
      </c>
      <c r="AY32" s="670">
        <v>8.6999999999999993</v>
      </c>
      <c r="AZ32" s="819" t="s">
        <v>1618</v>
      </c>
      <c r="BA32" s="670">
        <v>9.43</v>
      </c>
      <c r="BB32" s="670">
        <v>3950</v>
      </c>
      <c r="BC32" s="367"/>
      <c r="BD32" s="819"/>
      <c r="BE32" s="819"/>
      <c r="BF32" s="819"/>
      <c r="BG32" s="367"/>
      <c r="BH32" s="367"/>
      <c r="BI32" s="367"/>
      <c r="BJ32" s="265"/>
      <c r="BK32" s="977"/>
      <c r="BL32" s="366"/>
      <c r="BM32" s="970"/>
      <c r="BN32" s="971"/>
      <c r="BO32" s="970"/>
      <c r="BP32" s="365"/>
      <c r="BQ32" s="365"/>
      <c r="BR32" s="168"/>
      <c r="BS32" s="168"/>
      <c r="BT32" s="168"/>
    </row>
    <row r="33" spans="1:72" s="250" customFormat="1" ht="13.35" customHeight="1">
      <c r="A33" s="974">
        <v>28</v>
      </c>
      <c r="B33" s="863" t="s">
        <v>2304</v>
      </c>
      <c r="C33" s="863">
        <v>5</v>
      </c>
      <c r="D33" s="892" t="s">
        <v>2305</v>
      </c>
      <c r="E33" s="863" t="s">
        <v>2306</v>
      </c>
      <c r="F33" s="559">
        <v>7.89</v>
      </c>
      <c r="G33" s="863" t="s">
        <v>2355</v>
      </c>
      <c r="H33" s="559">
        <v>7.8</v>
      </c>
      <c r="I33" s="745">
        <v>3300</v>
      </c>
      <c r="J33" s="748">
        <v>69</v>
      </c>
      <c r="K33" s="863" t="s">
        <v>1828</v>
      </c>
      <c r="L33" s="863">
        <v>15</v>
      </c>
      <c r="M33" s="863" t="s">
        <v>666</v>
      </c>
      <c r="N33" s="863" t="s">
        <v>667</v>
      </c>
      <c r="O33" s="559">
        <v>12.14</v>
      </c>
      <c r="P33" s="863" t="s">
        <v>298</v>
      </c>
      <c r="Q33" s="559">
        <v>12.14</v>
      </c>
      <c r="R33" s="559">
        <v>150</v>
      </c>
      <c r="S33" s="748">
        <v>110</v>
      </c>
      <c r="T33" s="863" t="s">
        <v>1829</v>
      </c>
      <c r="U33" s="835">
        <v>15</v>
      </c>
      <c r="V33" s="863" t="s">
        <v>1000</v>
      </c>
      <c r="W33" s="863" t="s">
        <v>1001</v>
      </c>
      <c r="X33" s="559">
        <v>12</v>
      </c>
      <c r="Y33" s="845" t="s">
        <v>298</v>
      </c>
      <c r="Z33" s="559">
        <v>12</v>
      </c>
      <c r="AA33" s="559">
        <v>100</v>
      </c>
      <c r="AB33" s="748">
        <v>151</v>
      </c>
      <c r="AC33" s="877" t="s">
        <v>1821</v>
      </c>
      <c r="AD33" s="845">
        <v>20</v>
      </c>
      <c r="AE33" s="845" t="s">
        <v>32</v>
      </c>
      <c r="AF33" s="845" t="s">
        <v>44</v>
      </c>
      <c r="AG33" s="877">
        <v>13.139999999999999</v>
      </c>
      <c r="AH33" s="845" t="s">
        <v>298</v>
      </c>
      <c r="AI33" s="877">
        <v>13.139999999999999</v>
      </c>
      <c r="AJ33" s="877">
        <v>50</v>
      </c>
      <c r="AK33" s="748">
        <v>192</v>
      </c>
      <c r="AL33" s="845" t="s">
        <v>1818</v>
      </c>
      <c r="AM33" s="845">
        <v>20</v>
      </c>
      <c r="AN33" s="845" t="s">
        <v>1281</v>
      </c>
      <c r="AO33" s="845" t="s">
        <v>1278</v>
      </c>
      <c r="AP33" s="877">
        <v>10.85</v>
      </c>
      <c r="AQ33" s="845" t="s">
        <v>298</v>
      </c>
      <c r="AR33" s="877">
        <v>10.85</v>
      </c>
      <c r="AS33" s="877">
        <v>150</v>
      </c>
      <c r="AT33" s="748">
        <v>233</v>
      </c>
      <c r="AU33" s="845" t="s">
        <v>1819</v>
      </c>
      <c r="AV33" s="845">
        <v>20</v>
      </c>
      <c r="AW33" s="845" t="s">
        <v>1259</v>
      </c>
      <c r="AX33" s="845" t="s">
        <v>1260</v>
      </c>
      <c r="AY33" s="877">
        <v>8.24</v>
      </c>
      <c r="AZ33" s="845" t="s">
        <v>1539</v>
      </c>
      <c r="BA33" s="877">
        <v>7.97</v>
      </c>
      <c r="BB33" s="877">
        <v>2850</v>
      </c>
      <c r="BC33" s="367"/>
      <c r="BD33" s="819"/>
      <c r="BE33" s="819"/>
      <c r="BF33" s="819"/>
      <c r="BG33" s="367"/>
      <c r="BH33" s="367"/>
      <c r="BI33" s="367"/>
      <c r="BJ33" s="265"/>
      <c r="BK33" s="977"/>
      <c r="BL33" s="366"/>
      <c r="BM33" s="970"/>
      <c r="BN33" s="971"/>
      <c r="BO33" s="970"/>
      <c r="BP33" s="365"/>
      <c r="BQ33" s="365"/>
      <c r="BR33" s="168"/>
      <c r="BS33" s="168"/>
      <c r="BT33" s="168"/>
    </row>
    <row r="34" spans="1:72" s="168" customFormat="1" ht="13.35" customHeight="1">
      <c r="A34" s="251">
        <v>29</v>
      </c>
      <c r="B34" s="807" t="s">
        <v>2391</v>
      </c>
      <c r="C34" s="819">
        <v>5</v>
      </c>
      <c r="D34" s="819" t="s">
        <v>2392</v>
      </c>
      <c r="E34" s="819" t="s">
        <v>2393</v>
      </c>
      <c r="F34" s="670">
        <v>7.85</v>
      </c>
      <c r="G34" s="819" t="s">
        <v>2425</v>
      </c>
      <c r="H34" s="670">
        <v>8.1999999999999993</v>
      </c>
      <c r="I34" s="670">
        <v>5800</v>
      </c>
      <c r="J34" s="224">
        <v>70</v>
      </c>
      <c r="K34" s="819" t="s">
        <v>1836</v>
      </c>
      <c r="L34" s="819">
        <v>15</v>
      </c>
      <c r="M34" s="819" t="s">
        <v>668</v>
      </c>
      <c r="N34" s="819" t="s">
        <v>669</v>
      </c>
      <c r="O34" s="670">
        <v>12.14</v>
      </c>
      <c r="P34" s="819" t="s">
        <v>298</v>
      </c>
      <c r="Q34" s="670">
        <v>12.14</v>
      </c>
      <c r="R34" s="670">
        <v>150</v>
      </c>
      <c r="S34" s="224">
        <v>111</v>
      </c>
      <c r="T34" s="807" t="s">
        <v>1837</v>
      </c>
      <c r="U34" s="820">
        <v>15</v>
      </c>
      <c r="V34" s="807" t="s">
        <v>1002</v>
      </c>
      <c r="W34" s="807" t="s">
        <v>1003</v>
      </c>
      <c r="X34" s="558">
        <v>12.1</v>
      </c>
      <c r="Y34" s="819" t="s">
        <v>298</v>
      </c>
      <c r="Z34" s="558">
        <v>12.1</v>
      </c>
      <c r="AA34" s="558">
        <v>100</v>
      </c>
      <c r="AB34" s="224">
        <v>152</v>
      </c>
      <c r="AC34" s="819" t="s">
        <v>1825</v>
      </c>
      <c r="AD34" s="819">
        <v>20</v>
      </c>
      <c r="AE34" s="819" t="s">
        <v>33</v>
      </c>
      <c r="AF34" s="819" t="s">
        <v>45</v>
      </c>
      <c r="AG34" s="670">
        <v>13.139999999999999</v>
      </c>
      <c r="AH34" s="819" t="s">
        <v>298</v>
      </c>
      <c r="AI34" s="670">
        <v>13.139999999999999</v>
      </c>
      <c r="AJ34" s="670">
        <v>50</v>
      </c>
      <c r="AK34" s="224">
        <v>193</v>
      </c>
      <c r="AL34" s="819" t="s">
        <v>1822</v>
      </c>
      <c r="AM34" s="819">
        <v>20</v>
      </c>
      <c r="AN34" s="819" t="s">
        <v>1279</v>
      </c>
      <c r="AO34" s="819" t="s">
        <v>1282</v>
      </c>
      <c r="AP34" s="670">
        <v>11.5</v>
      </c>
      <c r="AQ34" s="819" t="s">
        <v>298</v>
      </c>
      <c r="AR34" s="670">
        <v>11.5</v>
      </c>
      <c r="AS34" s="670">
        <v>175</v>
      </c>
      <c r="AT34" s="224">
        <v>234</v>
      </c>
      <c r="AU34" s="819" t="s">
        <v>1823</v>
      </c>
      <c r="AV34" s="819">
        <v>20</v>
      </c>
      <c r="AW34" s="819" t="s">
        <v>1583</v>
      </c>
      <c r="AX34" s="819" t="s">
        <v>1585</v>
      </c>
      <c r="AY34" s="670">
        <v>8.24</v>
      </c>
      <c r="AZ34" s="819" t="s">
        <v>1595</v>
      </c>
      <c r="BA34" s="670">
        <v>8.68</v>
      </c>
      <c r="BB34" s="670">
        <v>3000</v>
      </c>
      <c r="BC34" s="367"/>
      <c r="BD34" s="819"/>
      <c r="BE34" s="819"/>
      <c r="BF34" s="819"/>
      <c r="BG34" s="367"/>
      <c r="BH34" s="367"/>
      <c r="BI34" s="367"/>
      <c r="BJ34" s="265"/>
      <c r="BK34" s="977"/>
      <c r="BL34" s="366"/>
      <c r="BM34" s="970"/>
      <c r="BN34" s="971"/>
      <c r="BO34" s="970"/>
      <c r="BP34" s="365"/>
      <c r="BQ34" s="365"/>
    </row>
    <row r="35" spans="1:72" s="168" customFormat="1" ht="13.35" customHeight="1">
      <c r="A35" s="974">
        <v>30</v>
      </c>
      <c r="B35" s="897" t="s">
        <v>2412</v>
      </c>
      <c r="C35" s="845">
        <v>5</v>
      </c>
      <c r="D35" s="845" t="s">
        <v>2413</v>
      </c>
      <c r="E35" s="845" t="s">
        <v>2414</v>
      </c>
      <c r="F35" s="877">
        <v>8.2899999999999991</v>
      </c>
      <c r="G35" s="845" t="s">
        <v>2436</v>
      </c>
      <c r="H35" s="877">
        <v>8.1999999999999993</v>
      </c>
      <c r="I35" s="877">
        <v>5200</v>
      </c>
      <c r="J35" s="748">
        <v>71</v>
      </c>
      <c r="K35" s="845" t="s">
        <v>2036</v>
      </c>
      <c r="L35" s="845">
        <v>15</v>
      </c>
      <c r="M35" s="845" t="s">
        <v>2037</v>
      </c>
      <c r="N35" s="845" t="s">
        <v>2038</v>
      </c>
      <c r="O35" s="877">
        <v>12</v>
      </c>
      <c r="P35" s="845" t="s">
        <v>298</v>
      </c>
      <c r="Q35" s="877">
        <v>12</v>
      </c>
      <c r="R35" s="877">
        <v>150</v>
      </c>
      <c r="S35" s="748">
        <v>112</v>
      </c>
      <c r="T35" s="845" t="s">
        <v>2042</v>
      </c>
      <c r="U35" s="845">
        <v>15</v>
      </c>
      <c r="V35" s="1447" t="s">
        <v>2043</v>
      </c>
      <c r="W35" s="845" t="s">
        <v>2044</v>
      </c>
      <c r="X35" s="877">
        <v>12.2</v>
      </c>
      <c r="Y35" s="845" t="s">
        <v>298</v>
      </c>
      <c r="Z35" s="877">
        <v>12.2</v>
      </c>
      <c r="AA35" s="877">
        <v>100</v>
      </c>
      <c r="AB35" s="748">
        <v>153</v>
      </c>
      <c r="AC35" s="845" t="s">
        <v>1830</v>
      </c>
      <c r="AD35" s="845">
        <v>20</v>
      </c>
      <c r="AE35" s="845" t="s">
        <v>34</v>
      </c>
      <c r="AF35" s="845" t="s">
        <v>46</v>
      </c>
      <c r="AG35" s="877">
        <v>13.139999999999999</v>
      </c>
      <c r="AH35" s="845" t="s">
        <v>298</v>
      </c>
      <c r="AI35" s="877">
        <v>13.139999999999999</v>
      </c>
      <c r="AJ35" s="877">
        <v>50</v>
      </c>
      <c r="AK35" s="748">
        <v>194</v>
      </c>
      <c r="AL35" s="845" t="s">
        <v>1826</v>
      </c>
      <c r="AM35" s="845">
        <v>20</v>
      </c>
      <c r="AN35" s="845" t="s">
        <v>1004</v>
      </c>
      <c r="AO35" s="845" t="s">
        <v>1005</v>
      </c>
      <c r="AP35" s="877">
        <v>11.5</v>
      </c>
      <c r="AQ35" s="845" t="s">
        <v>298</v>
      </c>
      <c r="AR35" s="877">
        <v>11.5</v>
      </c>
      <c r="AS35" s="877">
        <v>175</v>
      </c>
      <c r="AT35" s="748">
        <v>235</v>
      </c>
      <c r="AU35" s="863" t="s">
        <v>1827</v>
      </c>
      <c r="AV35" s="863">
        <v>20</v>
      </c>
      <c r="AW35" s="845" t="s">
        <v>1600</v>
      </c>
      <c r="AX35" s="845" t="s">
        <v>1601</v>
      </c>
      <c r="AY35" s="877">
        <v>9.2899999999999991</v>
      </c>
      <c r="AZ35" s="845" t="s">
        <v>1773</v>
      </c>
      <c r="BA35" s="877">
        <v>8.77</v>
      </c>
      <c r="BB35" s="877">
        <v>3650</v>
      </c>
      <c r="BC35" s="367"/>
      <c r="BD35" s="819"/>
      <c r="BE35" s="819"/>
      <c r="BF35" s="819"/>
      <c r="BG35" s="367"/>
      <c r="BH35" s="367"/>
      <c r="BI35" s="367"/>
      <c r="BJ35" s="265"/>
      <c r="BK35" s="527"/>
      <c r="BL35" s="366"/>
      <c r="BM35" s="970"/>
      <c r="BN35" s="971"/>
      <c r="BO35" s="970"/>
      <c r="BP35" s="365"/>
      <c r="BQ35" s="365"/>
    </row>
    <row r="36" spans="1:72" s="168" customFormat="1" ht="13.35" customHeight="1">
      <c r="A36" s="251">
        <v>31</v>
      </c>
      <c r="B36" s="819" t="s">
        <v>2443</v>
      </c>
      <c r="C36" s="819">
        <v>5</v>
      </c>
      <c r="D36" s="819" t="s">
        <v>2444</v>
      </c>
      <c r="E36" s="819" t="s">
        <v>2445</v>
      </c>
      <c r="F36" s="670">
        <v>8.26</v>
      </c>
      <c r="G36" s="819" t="s">
        <v>2454</v>
      </c>
      <c r="H36" s="670">
        <v>8.5</v>
      </c>
      <c r="I36" s="670">
        <v>6000</v>
      </c>
      <c r="J36" s="224">
        <v>72</v>
      </c>
      <c r="K36" s="819" t="s">
        <v>2039</v>
      </c>
      <c r="L36" s="819">
        <v>15</v>
      </c>
      <c r="M36" s="819" t="s">
        <v>2040</v>
      </c>
      <c r="N36" s="819" t="s">
        <v>2041</v>
      </c>
      <c r="O36" s="670">
        <v>10.6</v>
      </c>
      <c r="P36" s="819" t="s">
        <v>298</v>
      </c>
      <c r="Q36" s="670">
        <v>10.6</v>
      </c>
      <c r="R36" s="670">
        <v>150</v>
      </c>
      <c r="S36" s="224">
        <v>113</v>
      </c>
      <c r="T36" s="819" t="s">
        <v>2045</v>
      </c>
      <c r="U36" s="819">
        <v>15</v>
      </c>
      <c r="V36" s="819" t="s">
        <v>2046</v>
      </c>
      <c r="W36" s="819" t="s">
        <v>2047</v>
      </c>
      <c r="X36" s="670">
        <v>12.3</v>
      </c>
      <c r="Y36" s="819" t="s">
        <v>298</v>
      </c>
      <c r="Z36" s="670">
        <v>12.3</v>
      </c>
      <c r="AA36" s="670">
        <v>100</v>
      </c>
      <c r="AB36" s="224">
        <v>154</v>
      </c>
      <c r="AC36" s="807" t="s">
        <v>1838</v>
      </c>
      <c r="AD36" s="807">
        <v>20</v>
      </c>
      <c r="AE36" s="807" t="s">
        <v>35</v>
      </c>
      <c r="AF36" s="807" t="s">
        <v>47</v>
      </c>
      <c r="AG36" s="558">
        <v>13.13</v>
      </c>
      <c r="AH36" s="807" t="s">
        <v>298</v>
      </c>
      <c r="AI36" s="558">
        <v>13.13</v>
      </c>
      <c r="AJ36" s="558">
        <v>50</v>
      </c>
      <c r="AK36" s="224">
        <v>195</v>
      </c>
      <c r="AL36" s="819" t="s">
        <v>1831</v>
      </c>
      <c r="AM36" s="819">
        <v>20</v>
      </c>
      <c r="AN36" s="819" t="s">
        <v>1283</v>
      </c>
      <c r="AO36" s="819" t="s">
        <v>1289</v>
      </c>
      <c r="AP36" s="670">
        <v>11.5</v>
      </c>
      <c r="AQ36" s="819" t="s">
        <v>298</v>
      </c>
      <c r="AR36" s="670">
        <v>11.5</v>
      </c>
      <c r="AS36" s="670">
        <v>175</v>
      </c>
      <c r="AT36" s="224">
        <v>236</v>
      </c>
      <c r="AU36" s="807" t="s">
        <v>1832</v>
      </c>
      <c r="AV36" s="807">
        <v>20</v>
      </c>
      <c r="AW36" s="819" t="s">
        <v>1833</v>
      </c>
      <c r="AX36" s="819" t="s">
        <v>1834</v>
      </c>
      <c r="AY36" s="670">
        <v>9.1999999999999993</v>
      </c>
      <c r="AZ36" s="819" t="s">
        <v>2778</v>
      </c>
      <c r="BA36" s="558">
        <v>12.1</v>
      </c>
      <c r="BB36" s="810">
        <f>4500+529.96</f>
        <v>5029.96</v>
      </c>
      <c r="BC36" s="367"/>
      <c r="BD36" s="819"/>
      <c r="BE36" s="819"/>
      <c r="BF36" s="819"/>
      <c r="BG36" s="367"/>
      <c r="BH36" s="367"/>
      <c r="BI36" s="367"/>
      <c r="BJ36" s="265"/>
      <c r="BK36" s="527"/>
      <c r="BL36" s="366"/>
      <c r="BM36" s="976"/>
      <c r="BN36" s="971"/>
      <c r="BO36" s="976"/>
      <c r="BP36" s="365"/>
      <c r="BQ36" s="365"/>
    </row>
    <row r="37" spans="1:72" s="168" customFormat="1" ht="13.35" customHeight="1">
      <c r="A37" s="974">
        <v>32</v>
      </c>
      <c r="B37" s="863" t="s">
        <v>2497</v>
      </c>
      <c r="C37" s="863">
        <v>5</v>
      </c>
      <c r="D37" s="863" t="s">
        <v>2498</v>
      </c>
      <c r="E37" s="863" t="s">
        <v>2499</v>
      </c>
      <c r="F37" s="559">
        <v>8.75</v>
      </c>
      <c r="G37" s="863" t="s">
        <v>2512</v>
      </c>
      <c r="H37" s="559">
        <v>9.0399999999999991</v>
      </c>
      <c r="I37" s="559">
        <v>6000</v>
      </c>
      <c r="J37" s="748">
        <v>73</v>
      </c>
      <c r="K37" s="845" t="s">
        <v>1848</v>
      </c>
      <c r="L37" s="845">
        <v>15</v>
      </c>
      <c r="M37" s="845" t="s">
        <v>670</v>
      </c>
      <c r="N37" s="845" t="s">
        <v>671</v>
      </c>
      <c r="O37" s="877">
        <v>10.09</v>
      </c>
      <c r="P37" s="845" t="s">
        <v>298</v>
      </c>
      <c r="Q37" s="877">
        <v>10.09</v>
      </c>
      <c r="R37" s="877">
        <v>80</v>
      </c>
      <c r="S37" s="748">
        <v>114</v>
      </c>
      <c r="T37" s="845" t="s">
        <v>1849</v>
      </c>
      <c r="U37" s="845">
        <v>15</v>
      </c>
      <c r="V37" s="845" t="s">
        <v>1040</v>
      </c>
      <c r="W37" s="845" t="s">
        <v>1041</v>
      </c>
      <c r="X37" s="877">
        <v>12.379999999999999</v>
      </c>
      <c r="Y37" s="845" t="s">
        <v>298</v>
      </c>
      <c r="Z37" s="877">
        <v>12.379999999999999</v>
      </c>
      <c r="AA37" s="877">
        <v>100</v>
      </c>
      <c r="AB37" s="748">
        <v>155</v>
      </c>
      <c r="AC37" s="845" t="s">
        <v>2048</v>
      </c>
      <c r="AD37" s="845">
        <v>20</v>
      </c>
      <c r="AE37" s="845" t="s">
        <v>2049</v>
      </c>
      <c r="AF37" s="845" t="s">
        <v>2050</v>
      </c>
      <c r="AG37" s="877">
        <v>13.09</v>
      </c>
      <c r="AH37" s="845" t="s">
        <v>298</v>
      </c>
      <c r="AI37" s="877">
        <v>13.09</v>
      </c>
      <c r="AJ37" s="877">
        <v>50</v>
      </c>
      <c r="AK37" s="748">
        <v>196</v>
      </c>
      <c r="AL37" s="845" t="s">
        <v>1839</v>
      </c>
      <c r="AM37" s="845">
        <v>20</v>
      </c>
      <c r="AN37" s="845" t="s">
        <v>1840</v>
      </c>
      <c r="AO37" s="845" t="s">
        <v>1292</v>
      </c>
      <c r="AP37" s="877">
        <v>11.95</v>
      </c>
      <c r="AQ37" s="845" t="s">
        <v>298</v>
      </c>
      <c r="AR37" s="877">
        <v>11.95</v>
      </c>
      <c r="AS37" s="877">
        <v>250</v>
      </c>
      <c r="AT37" s="748">
        <v>237</v>
      </c>
      <c r="AU37" s="863" t="s">
        <v>1841</v>
      </c>
      <c r="AV37" s="863">
        <v>20</v>
      </c>
      <c r="AW37" s="845" t="s">
        <v>1662</v>
      </c>
      <c r="AX37" s="845" t="s">
        <v>1664</v>
      </c>
      <c r="AY37" s="877">
        <v>8.94</v>
      </c>
      <c r="AZ37" s="845" t="s">
        <v>2583</v>
      </c>
      <c r="BA37" s="559">
        <v>11.26</v>
      </c>
      <c r="BB37" s="745">
        <v>5184.3499999999995</v>
      </c>
      <c r="BK37" s="250"/>
      <c r="BL37" s="367"/>
      <c r="BM37" s="976"/>
      <c r="BN37" s="971"/>
      <c r="BO37" s="976"/>
      <c r="BP37" s="365"/>
      <c r="BQ37" s="365"/>
    </row>
    <row r="38" spans="1:72" s="168" customFormat="1" ht="13.35" customHeight="1">
      <c r="A38" s="224">
        <v>33</v>
      </c>
      <c r="B38" s="807" t="s">
        <v>2519</v>
      </c>
      <c r="C38" s="807">
        <v>5</v>
      </c>
      <c r="D38" s="876" t="s">
        <v>2520</v>
      </c>
      <c r="E38" s="807" t="s">
        <v>2564</v>
      </c>
      <c r="F38" s="558">
        <v>9</v>
      </c>
      <c r="G38" s="807" t="s">
        <v>298</v>
      </c>
      <c r="H38" s="558">
        <v>9</v>
      </c>
      <c r="I38" s="558">
        <v>3500</v>
      </c>
      <c r="J38" s="224">
        <v>74</v>
      </c>
      <c r="K38" s="876" t="s">
        <v>1855</v>
      </c>
      <c r="L38" s="807">
        <v>15</v>
      </c>
      <c r="M38" s="807" t="s">
        <v>672</v>
      </c>
      <c r="N38" s="807" t="s">
        <v>673</v>
      </c>
      <c r="O38" s="810">
        <v>9.39</v>
      </c>
      <c r="P38" s="807" t="s">
        <v>298</v>
      </c>
      <c r="Q38" s="558">
        <v>9.39</v>
      </c>
      <c r="R38" s="558">
        <v>150</v>
      </c>
      <c r="S38" s="224">
        <v>115</v>
      </c>
      <c r="T38" s="819" t="s">
        <v>1856</v>
      </c>
      <c r="U38" s="819">
        <v>15</v>
      </c>
      <c r="V38" s="819" t="s">
        <v>1042</v>
      </c>
      <c r="W38" s="819" t="s">
        <v>1043</v>
      </c>
      <c r="X38" s="670">
        <v>12.379999999999999</v>
      </c>
      <c r="Y38" s="819" t="s">
        <v>298</v>
      </c>
      <c r="Z38" s="670">
        <v>12.379999999999999</v>
      </c>
      <c r="AA38" s="670">
        <v>200</v>
      </c>
      <c r="AB38" s="224">
        <v>156</v>
      </c>
      <c r="AC38" s="819" t="s">
        <v>2051</v>
      </c>
      <c r="AD38" s="819">
        <v>20</v>
      </c>
      <c r="AE38" s="819" t="s">
        <v>2052</v>
      </c>
      <c r="AF38" s="819" t="s">
        <v>2053</v>
      </c>
      <c r="AG38" s="670">
        <v>13.07</v>
      </c>
      <c r="AH38" s="819" t="s">
        <v>298</v>
      </c>
      <c r="AI38" s="670">
        <v>13.07</v>
      </c>
      <c r="AJ38" s="670">
        <v>125</v>
      </c>
      <c r="AK38" s="224">
        <v>197</v>
      </c>
      <c r="AL38" s="819" t="s">
        <v>2054</v>
      </c>
      <c r="AM38" s="819">
        <v>20</v>
      </c>
      <c r="AN38" s="819" t="s">
        <v>2055</v>
      </c>
      <c r="AO38" s="819" t="s">
        <v>2056</v>
      </c>
      <c r="AP38" s="670">
        <v>12</v>
      </c>
      <c r="AQ38" s="819" t="s">
        <v>298</v>
      </c>
      <c r="AR38" s="670">
        <v>12</v>
      </c>
      <c r="AS38" s="670">
        <v>250</v>
      </c>
      <c r="AT38" s="224">
        <v>238</v>
      </c>
      <c r="AU38" s="964" t="s">
        <v>2011</v>
      </c>
      <c r="AV38" s="964">
        <v>20</v>
      </c>
      <c r="AW38" s="819" t="s">
        <v>2010</v>
      </c>
      <c r="AX38" s="819" t="s">
        <v>2012</v>
      </c>
      <c r="AY38" s="670">
        <v>6.07</v>
      </c>
      <c r="AZ38" s="819" t="s">
        <v>2216</v>
      </c>
      <c r="BA38" s="558">
        <v>7.64</v>
      </c>
      <c r="BB38" s="810">
        <v>4400</v>
      </c>
      <c r="BC38" s="9"/>
      <c r="BD38" s="9"/>
      <c r="BE38" s="9"/>
      <c r="BF38" s="9"/>
      <c r="BG38" s="9"/>
      <c r="BH38" s="9"/>
      <c r="BI38" s="9"/>
      <c r="BK38" s="250"/>
      <c r="BL38" s="367"/>
      <c r="BM38" s="976"/>
      <c r="BN38" s="971"/>
      <c r="BO38" s="976"/>
      <c r="BP38" s="365"/>
      <c r="BQ38" s="365"/>
    </row>
    <row r="39" spans="1:72" s="168" customFormat="1" ht="13.35" customHeight="1">
      <c r="A39" s="748">
        <v>34</v>
      </c>
      <c r="B39" s="845" t="s">
        <v>2562</v>
      </c>
      <c r="C39" s="845">
        <v>5</v>
      </c>
      <c r="D39" s="845" t="s">
        <v>2563</v>
      </c>
      <c r="E39" s="845" t="s">
        <v>2565</v>
      </c>
      <c r="F39" s="877">
        <v>9.1</v>
      </c>
      <c r="G39" s="845" t="s">
        <v>2569</v>
      </c>
      <c r="H39" s="877">
        <v>10.09</v>
      </c>
      <c r="I39" s="877">
        <v>3789.83</v>
      </c>
      <c r="J39" s="748">
        <v>75</v>
      </c>
      <c r="K39" s="863" t="s">
        <v>1865</v>
      </c>
      <c r="L39" s="863">
        <v>15</v>
      </c>
      <c r="M39" s="863" t="s">
        <v>674</v>
      </c>
      <c r="N39" s="863" t="s">
        <v>675</v>
      </c>
      <c r="O39" s="745">
        <v>8.59</v>
      </c>
      <c r="P39" s="863" t="s">
        <v>298</v>
      </c>
      <c r="Q39" s="559">
        <v>8.59</v>
      </c>
      <c r="R39" s="559">
        <v>150</v>
      </c>
      <c r="S39" s="748">
        <v>116</v>
      </c>
      <c r="T39" s="845" t="s">
        <v>1866</v>
      </c>
      <c r="U39" s="845">
        <v>15</v>
      </c>
      <c r="V39" s="845" t="s">
        <v>1044</v>
      </c>
      <c r="W39" s="845" t="s">
        <v>1045</v>
      </c>
      <c r="X39" s="877">
        <v>12.379999999999999</v>
      </c>
      <c r="Y39" s="845" t="s">
        <v>298</v>
      </c>
      <c r="Z39" s="877">
        <v>12.379999999999999</v>
      </c>
      <c r="AA39" s="877">
        <v>200</v>
      </c>
      <c r="AB39" s="748">
        <v>157</v>
      </c>
      <c r="AC39" s="845" t="s">
        <v>1850</v>
      </c>
      <c r="AD39" s="845">
        <v>20</v>
      </c>
      <c r="AE39" s="845" t="s">
        <v>36</v>
      </c>
      <c r="AF39" s="845" t="s">
        <v>1312</v>
      </c>
      <c r="AG39" s="877">
        <v>13.07</v>
      </c>
      <c r="AH39" s="845" t="s">
        <v>298</v>
      </c>
      <c r="AI39" s="877">
        <v>13.07</v>
      </c>
      <c r="AJ39" s="877">
        <v>125</v>
      </c>
      <c r="AK39" s="748">
        <v>198</v>
      </c>
      <c r="AL39" s="845" t="s">
        <v>2057</v>
      </c>
      <c r="AM39" s="845">
        <v>20</v>
      </c>
      <c r="AN39" s="877" t="s">
        <v>2058</v>
      </c>
      <c r="AO39" s="845" t="s">
        <v>2059</v>
      </c>
      <c r="AP39" s="877">
        <v>12.03</v>
      </c>
      <c r="AQ39" s="845" t="s">
        <v>298</v>
      </c>
      <c r="AR39" s="877">
        <v>12.03</v>
      </c>
      <c r="AS39" s="877">
        <v>250</v>
      </c>
      <c r="AT39" s="748">
        <v>239</v>
      </c>
      <c r="AU39" s="863" t="s">
        <v>2237</v>
      </c>
      <c r="AV39" s="863">
        <v>20</v>
      </c>
      <c r="AW39" s="845" t="s">
        <v>2236</v>
      </c>
      <c r="AX39" s="845" t="s">
        <v>2238</v>
      </c>
      <c r="AY39" s="877">
        <v>7.75</v>
      </c>
      <c r="AZ39" s="845" t="s">
        <v>2378</v>
      </c>
      <c r="BA39" s="559">
        <v>8.9</v>
      </c>
      <c r="BB39" s="745">
        <v>4500</v>
      </c>
      <c r="BC39" s="9"/>
      <c r="BD39" s="9"/>
      <c r="BE39" s="9"/>
      <c r="BF39" s="9"/>
      <c r="BG39" s="9"/>
      <c r="BH39" s="9"/>
      <c r="BI39" s="9"/>
      <c r="BK39" s="250"/>
      <c r="BL39" s="367"/>
      <c r="BM39" s="976"/>
      <c r="BN39" s="971"/>
      <c r="BO39" s="976"/>
      <c r="BP39" s="365"/>
      <c r="BQ39" s="365"/>
    </row>
    <row r="40" spans="1:72" s="168" customFormat="1" ht="13.35" customHeight="1">
      <c r="A40" s="224">
        <v>35</v>
      </c>
      <c r="B40" s="819" t="s">
        <v>2580</v>
      </c>
      <c r="C40" s="819">
        <v>5</v>
      </c>
      <c r="D40" s="819" t="s">
        <v>2581</v>
      </c>
      <c r="E40" s="819" t="s">
        <v>2582</v>
      </c>
      <c r="F40" s="670">
        <v>10.99</v>
      </c>
      <c r="G40" s="819" t="s">
        <v>2776</v>
      </c>
      <c r="H40" s="670">
        <v>11.75</v>
      </c>
      <c r="I40" s="670">
        <f>813.62+1744.54</f>
        <v>2558.16</v>
      </c>
      <c r="J40" s="224">
        <v>76</v>
      </c>
      <c r="K40" s="819" t="s">
        <v>1876</v>
      </c>
      <c r="L40" s="819">
        <v>15</v>
      </c>
      <c r="M40" s="819" t="s">
        <v>676</v>
      </c>
      <c r="N40" s="819" t="s">
        <v>677</v>
      </c>
      <c r="O40" s="670">
        <v>8.8000000000000007</v>
      </c>
      <c r="P40" s="819" t="s">
        <v>298</v>
      </c>
      <c r="Q40" s="670">
        <v>8.8000000000000007</v>
      </c>
      <c r="R40" s="670">
        <v>131.25</v>
      </c>
      <c r="S40" s="224">
        <v>117</v>
      </c>
      <c r="T40" s="670" t="s">
        <v>1877</v>
      </c>
      <c r="U40" s="819">
        <v>15</v>
      </c>
      <c r="V40" s="819" t="s">
        <v>1046</v>
      </c>
      <c r="W40" s="819" t="s">
        <v>1047</v>
      </c>
      <c r="X40" s="670">
        <v>12.4</v>
      </c>
      <c r="Y40" s="819" t="s">
        <v>298</v>
      </c>
      <c r="Z40" s="670">
        <v>12.4</v>
      </c>
      <c r="AA40" s="670">
        <v>200</v>
      </c>
      <c r="AB40" s="224">
        <v>158</v>
      </c>
      <c r="AC40" s="819" t="s">
        <v>1857</v>
      </c>
      <c r="AD40" s="819">
        <v>20</v>
      </c>
      <c r="AE40" s="670" t="s">
        <v>37</v>
      </c>
      <c r="AF40" s="819" t="s">
        <v>48</v>
      </c>
      <c r="AG40" s="670">
        <v>13.07</v>
      </c>
      <c r="AH40" s="819" t="s">
        <v>298</v>
      </c>
      <c r="AI40" s="670">
        <v>13.07</v>
      </c>
      <c r="AJ40" s="670">
        <v>125</v>
      </c>
      <c r="AK40" s="224">
        <v>199</v>
      </c>
      <c r="AL40" s="819" t="s">
        <v>1851</v>
      </c>
      <c r="AM40" s="819">
        <v>20</v>
      </c>
      <c r="AN40" s="819" t="s">
        <v>1852</v>
      </c>
      <c r="AO40" s="819" t="s">
        <v>1853</v>
      </c>
      <c r="AP40" s="670">
        <v>12.07</v>
      </c>
      <c r="AQ40" s="819" t="s">
        <v>298</v>
      </c>
      <c r="AR40" s="670">
        <v>12.07</v>
      </c>
      <c r="AS40" s="670">
        <v>325</v>
      </c>
      <c r="AT40" s="224">
        <v>240</v>
      </c>
      <c r="AU40" s="807" t="s">
        <v>2293</v>
      </c>
      <c r="AV40" s="807">
        <v>20</v>
      </c>
      <c r="AW40" s="819" t="s">
        <v>2294</v>
      </c>
      <c r="AX40" s="819" t="s">
        <v>2295</v>
      </c>
      <c r="AY40" s="670">
        <v>8.65</v>
      </c>
      <c r="AZ40" s="819" t="s">
        <v>2362</v>
      </c>
      <c r="BA40" s="558">
        <v>8.83</v>
      </c>
      <c r="BB40" s="810">
        <v>5161.28</v>
      </c>
      <c r="BC40" s="66"/>
      <c r="BD40" s="66"/>
      <c r="BE40" s="66"/>
      <c r="BF40" s="66"/>
      <c r="BG40" s="66"/>
      <c r="BH40" s="66"/>
      <c r="BI40" s="66"/>
      <c r="BK40" s="250"/>
      <c r="BL40" s="367"/>
      <c r="BM40" s="976"/>
      <c r="BN40" s="971"/>
      <c r="BO40" s="976"/>
      <c r="BP40" s="819"/>
      <c r="BQ40" s="819"/>
    </row>
    <row r="41" spans="1:72" s="168" customFormat="1" ht="13.35" customHeight="1">
      <c r="A41" s="748">
        <v>36</v>
      </c>
      <c r="B41" s="845" t="s">
        <v>2660</v>
      </c>
      <c r="C41" s="845">
        <v>5</v>
      </c>
      <c r="D41" s="845" t="s">
        <v>2661</v>
      </c>
      <c r="E41" s="845" t="s">
        <v>2662</v>
      </c>
      <c r="F41" s="877">
        <v>10.35</v>
      </c>
      <c r="G41" s="845" t="s">
        <v>298</v>
      </c>
      <c r="H41" s="877">
        <v>10.35</v>
      </c>
      <c r="I41" s="877">
        <v>1547.68</v>
      </c>
      <c r="J41" s="748">
        <v>77</v>
      </c>
      <c r="K41" s="845" t="s">
        <v>1884</v>
      </c>
      <c r="L41" s="845">
        <v>15</v>
      </c>
      <c r="M41" s="845" t="s">
        <v>342</v>
      </c>
      <c r="N41" s="845" t="s">
        <v>343</v>
      </c>
      <c r="O41" s="877">
        <v>8.69</v>
      </c>
      <c r="P41" s="845" t="s">
        <v>298</v>
      </c>
      <c r="Q41" s="877">
        <v>8.69</v>
      </c>
      <c r="R41" s="877">
        <v>150</v>
      </c>
      <c r="S41" s="748">
        <v>118</v>
      </c>
      <c r="T41" s="877" t="s">
        <v>1885</v>
      </c>
      <c r="U41" s="845">
        <v>15</v>
      </c>
      <c r="V41" s="845" t="s">
        <v>1715</v>
      </c>
      <c r="W41" s="845" t="s">
        <v>1886</v>
      </c>
      <c r="X41" s="877">
        <v>12.4</v>
      </c>
      <c r="Y41" s="845" t="s">
        <v>298</v>
      </c>
      <c r="Z41" s="877">
        <v>12.4</v>
      </c>
      <c r="AA41" s="877">
        <v>150</v>
      </c>
      <c r="AB41" s="748">
        <v>159</v>
      </c>
      <c r="AC41" s="845" t="s">
        <v>1867</v>
      </c>
      <c r="AD41" s="845">
        <v>20</v>
      </c>
      <c r="AE41" s="877" t="s">
        <v>38</v>
      </c>
      <c r="AF41" s="845" t="s">
        <v>49</v>
      </c>
      <c r="AG41" s="877">
        <v>13.04</v>
      </c>
      <c r="AH41" s="845" t="s">
        <v>298</v>
      </c>
      <c r="AI41" s="877">
        <v>13.04</v>
      </c>
      <c r="AJ41" s="877">
        <v>125</v>
      </c>
      <c r="AK41" s="748">
        <v>200</v>
      </c>
      <c r="AL41" s="845" t="s">
        <v>1858</v>
      </c>
      <c r="AM41" s="845">
        <v>20</v>
      </c>
      <c r="AN41" s="845" t="s">
        <v>1859</v>
      </c>
      <c r="AO41" s="845" t="s">
        <v>1860</v>
      </c>
      <c r="AP41" s="877">
        <v>12.1</v>
      </c>
      <c r="AQ41" s="845" t="s">
        <v>298</v>
      </c>
      <c r="AR41" s="877">
        <v>12.1</v>
      </c>
      <c r="AS41" s="877">
        <v>325</v>
      </c>
      <c r="AT41" s="748">
        <v>241</v>
      </c>
      <c r="AU41" s="863" t="s">
        <v>2403</v>
      </c>
      <c r="AV41" s="863">
        <v>20</v>
      </c>
      <c r="AW41" s="845" t="s">
        <v>2402</v>
      </c>
      <c r="AX41" s="845" t="s">
        <v>2404</v>
      </c>
      <c r="AY41" s="877">
        <v>8.9499999999999993</v>
      </c>
      <c r="AZ41" s="845" t="s">
        <v>2659</v>
      </c>
      <c r="BA41" s="559">
        <v>11.22</v>
      </c>
      <c r="BB41" s="745">
        <v>1319.01</v>
      </c>
      <c r="BC41" s="66"/>
      <c r="BD41" s="66"/>
      <c r="BE41" s="66"/>
      <c r="BF41" s="66"/>
      <c r="BG41" s="66"/>
      <c r="BH41" s="66"/>
      <c r="BI41" s="66"/>
      <c r="BK41" s="250"/>
    </row>
    <row r="42" spans="1:72" s="168" customFormat="1" ht="13.35" customHeight="1" thickBot="1">
      <c r="A42" s="224">
        <v>37</v>
      </c>
      <c r="B42" s="819" t="s">
        <v>1844</v>
      </c>
      <c r="C42" s="819">
        <v>10</v>
      </c>
      <c r="D42" s="670" t="s">
        <v>1077</v>
      </c>
      <c r="E42" s="670" t="s">
        <v>1078</v>
      </c>
      <c r="F42" s="670">
        <v>11.75</v>
      </c>
      <c r="G42" s="819" t="s">
        <v>1845</v>
      </c>
      <c r="H42" s="670">
        <v>11.67</v>
      </c>
      <c r="I42" s="670">
        <v>1450</v>
      </c>
      <c r="J42" s="224">
        <v>78</v>
      </c>
      <c r="K42" s="819" t="s">
        <v>1892</v>
      </c>
      <c r="L42" s="819">
        <v>15</v>
      </c>
      <c r="M42" s="819" t="s">
        <v>344</v>
      </c>
      <c r="N42" s="819" t="s">
        <v>345</v>
      </c>
      <c r="O42" s="670">
        <v>8.69</v>
      </c>
      <c r="P42" s="819" t="s">
        <v>298</v>
      </c>
      <c r="Q42" s="670">
        <v>8.69</v>
      </c>
      <c r="R42" s="670">
        <v>150</v>
      </c>
      <c r="S42" s="224">
        <v>119</v>
      </c>
      <c r="T42" s="807" t="s">
        <v>1893</v>
      </c>
      <c r="U42" s="807">
        <v>15</v>
      </c>
      <c r="V42" s="807" t="s">
        <v>1722</v>
      </c>
      <c r="W42" s="807" t="s">
        <v>1894</v>
      </c>
      <c r="X42" s="558">
        <v>12.4</v>
      </c>
      <c r="Y42" s="807" t="s">
        <v>298</v>
      </c>
      <c r="Z42" s="558">
        <v>12.4</v>
      </c>
      <c r="AA42" s="558">
        <v>150</v>
      </c>
      <c r="AB42" s="224">
        <v>160</v>
      </c>
      <c r="AC42" s="819" t="s">
        <v>1878</v>
      </c>
      <c r="AD42" s="819">
        <v>20</v>
      </c>
      <c r="AE42" s="670" t="s">
        <v>39</v>
      </c>
      <c r="AF42" s="819" t="s">
        <v>50</v>
      </c>
      <c r="AG42" s="670">
        <v>13.04</v>
      </c>
      <c r="AH42" s="819" t="s">
        <v>298</v>
      </c>
      <c r="AI42" s="670">
        <v>13.04</v>
      </c>
      <c r="AJ42" s="670">
        <v>125</v>
      </c>
      <c r="AK42" s="224">
        <v>201</v>
      </c>
      <c r="AL42" s="819" t="s">
        <v>1868</v>
      </c>
      <c r="AM42" s="819">
        <v>20</v>
      </c>
      <c r="AN42" s="819" t="s">
        <v>1869</v>
      </c>
      <c r="AO42" s="819" t="s">
        <v>1870</v>
      </c>
      <c r="AP42" s="670">
        <v>12.12</v>
      </c>
      <c r="AQ42" s="819" t="s">
        <v>298</v>
      </c>
      <c r="AR42" s="670">
        <v>12.12</v>
      </c>
      <c r="AS42" s="670">
        <v>341</v>
      </c>
      <c r="AT42" s="1751">
        <v>242</v>
      </c>
      <c r="AU42" s="1445" t="s">
        <v>2416</v>
      </c>
      <c r="AV42" s="1445">
        <v>20</v>
      </c>
      <c r="AW42" s="1752" t="s">
        <v>2415</v>
      </c>
      <c r="AX42" s="1752" t="s">
        <v>2417</v>
      </c>
      <c r="AY42" s="1753">
        <v>8.89</v>
      </c>
      <c r="AZ42" s="1752" t="s">
        <v>298</v>
      </c>
      <c r="BA42" s="1086">
        <v>8.89</v>
      </c>
      <c r="BB42" s="743">
        <v>850</v>
      </c>
      <c r="BC42" s="170"/>
      <c r="BD42" s="170"/>
      <c r="BE42" s="170"/>
      <c r="BF42" s="170"/>
      <c r="BG42" s="170"/>
      <c r="BH42" s="170"/>
      <c r="BI42" s="170"/>
    </row>
    <row r="43" spans="1:72" s="168" customFormat="1" ht="13.35" customHeight="1">
      <c r="A43" s="748">
        <v>38</v>
      </c>
      <c r="B43" s="845" t="s">
        <v>2063</v>
      </c>
      <c r="C43" s="845">
        <v>10</v>
      </c>
      <c r="D43" s="845" t="s">
        <v>2064</v>
      </c>
      <c r="E43" s="845" t="s">
        <v>2065</v>
      </c>
      <c r="F43" s="877">
        <v>11.59</v>
      </c>
      <c r="G43" s="845" t="s">
        <v>298</v>
      </c>
      <c r="H43" s="877">
        <v>11.59</v>
      </c>
      <c r="I43" s="877">
        <v>1600</v>
      </c>
      <c r="J43" s="748">
        <v>79</v>
      </c>
      <c r="K43" s="845" t="s">
        <v>1899</v>
      </c>
      <c r="L43" s="845">
        <v>15</v>
      </c>
      <c r="M43" s="845" t="s">
        <v>346</v>
      </c>
      <c r="N43" s="845" t="s">
        <v>347</v>
      </c>
      <c r="O43" s="877">
        <v>8.74</v>
      </c>
      <c r="P43" s="845" t="s">
        <v>298</v>
      </c>
      <c r="Q43" s="877">
        <v>8.74</v>
      </c>
      <c r="R43" s="877">
        <v>100</v>
      </c>
      <c r="S43" s="748">
        <v>120</v>
      </c>
      <c r="T43" s="877" t="s">
        <v>1900</v>
      </c>
      <c r="U43" s="845">
        <v>15</v>
      </c>
      <c r="V43" s="845" t="s">
        <v>1732</v>
      </c>
      <c r="W43" s="845" t="s">
        <v>1901</v>
      </c>
      <c r="X43" s="877">
        <v>12.42</v>
      </c>
      <c r="Y43" s="845" t="s">
        <v>298</v>
      </c>
      <c r="Z43" s="877">
        <v>12.42</v>
      </c>
      <c r="AA43" s="877">
        <v>150</v>
      </c>
      <c r="AB43" s="309">
        <v>161</v>
      </c>
      <c r="AC43" s="845" t="s">
        <v>1887</v>
      </c>
      <c r="AD43" s="845">
        <v>20</v>
      </c>
      <c r="AE43" s="877" t="s">
        <v>40</v>
      </c>
      <c r="AF43" s="845" t="s">
        <v>51</v>
      </c>
      <c r="AG43" s="877">
        <v>13.019999999999998</v>
      </c>
      <c r="AH43" s="845" t="s">
        <v>298</v>
      </c>
      <c r="AI43" s="877">
        <v>13.019999999999998</v>
      </c>
      <c r="AJ43" s="877">
        <v>125</v>
      </c>
      <c r="AK43" s="748">
        <v>202</v>
      </c>
      <c r="AL43" s="845" t="s">
        <v>1879</v>
      </c>
      <c r="AM43" s="845">
        <v>20</v>
      </c>
      <c r="AN43" s="845" t="s">
        <v>1880</v>
      </c>
      <c r="AO43" s="845" t="s">
        <v>1881</v>
      </c>
      <c r="AP43" s="877">
        <v>12.12</v>
      </c>
      <c r="AQ43" s="845" t="s">
        <v>298</v>
      </c>
      <c r="AR43" s="877">
        <v>12.12</v>
      </c>
      <c r="AS43" s="877">
        <v>300</v>
      </c>
      <c r="AT43" s="170"/>
      <c r="AU43" s="170"/>
      <c r="AV43" s="170"/>
      <c r="AW43" s="170"/>
      <c r="AX43" s="170"/>
      <c r="AY43" s="170"/>
      <c r="AZ43" s="170"/>
      <c r="BA43" s="269"/>
      <c r="BB43" s="266"/>
      <c r="BC43" s="367"/>
      <c r="BD43" s="976"/>
      <c r="BE43" s="971"/>
      <c r="BF43" s="976"/>
      <c r="BG43" s="819"/>
      <c r="BH43" s="819"/>
      <c r="BM43" s="29"/>
      <c r="BN43" s="30"/>
      <c r="BO43" s="29"/>
      <c r="BQ43" s="29"/>
    </row>
    <row r="44" spans="1:72" s="168" customFormat="1" ht="13.35" customHeight="1">
      <c r="A44" s="224">
        <v>39</v>
      </c>
      <c r="B44" s="819" t="s">
        <v>2033</v>
      </c>
      <c r="C44" s="819">
        <v>10</v>
      </c>
      <c r="D44" s="819" t="s">
        <v>2034</v>
      </c>
      <c r="E44" s="819" t="s">
        <v>2035</v>
      </c>
      <c r="F44" s="670">
        <v>10.92</v>
      </c>
      <c r="G44" s="819" t="s">
        <v>298</v>
      </c>
      <c r="H44" s="670">
        <v>10.92</v>
      </c>
      <c r="I44" s="670">
        <v>1840</v>
      </c>
      <c r="J44" s="224">
        <v>80</v>
      </c>
      <c r="K44" s="819" t="s">
        <v>1907</v>
      </c>
      <c r="L44" s="819">
        <v>15</v>
      </c>
      <c r="M44" s="819" t="s">
        <v>348</v>
      </c>
      <c r="N44" s="819" t="s">
        <v>349</v>
      </c>
      <c r="O44" s="670">
        <v>8.74</v>
      </c>
      <c r="P44" s="819" t="s">
        <v>298</v>
      </c>
      <c r="Q44" s="670">
        <v>8.74</v>
      </c>
      <c r="R44" s="670">
        <v>100</v>
      </c>
      <c r="S44" s="224">
        <v>121</v>
      </c>
      <c r="T44" s="670" t="s">
        <v>1908</v>
      </c>
      <c r="U44" s="819">
        <v>15</v>
      </c>
      <c r="V44" s="819" t="s">
        <v>1738</v>
      </c>
      <c r="W44" s="819" t="s">
        <v>1909</v>
      </c>
      <c r="X44" s="670">
        <v>12.42</v>
      </c>
      <c r="Y44" s="819" t="s">
        <v>298</v>
      </c>
      <c r="Z44" s="670">
        <v>12.42</v>
      </c>
      <c r="AA44" s="670">
        <v>150</v>
      </c>
      <c r="AB44" s="267">
        <v>162</v>
      </c>
      <c r="AC44" s="819" t="s">
        <v>1895</v>
      </c>
      <c r="AD44" s="819">
        <v>20</v>
      </c>
      <c r="AE44" s="670" t="s">
        <v>1</v>
      </c>
      <c r="AF44" s="819" t="s">
        <v>42</v>
      </c>
      <c r="AG44" s="670">
        <v>13</v>
      </c>
      <c r="AH44" s="819" t="s">
        <v>298</v>
      </c>
      <c r="AI44" s="670">
        <v>13</v>
      </c>
      <c r="AJ44" s="670">
        <v>125</v>
      </c>
      <c r="AK44" s="224">
        <v>203</v>
      </c>
      <c r="AL44" s="819" t="s">
        <v>1888</v>
      </c>
      <c r="AM44" s="819">
        <v>20</v>
      </c>
      <c r="AN44" s="819" t="s">
        <v>1889</v>
      </c>
      <c r="AO44" s="819" t="s">
        <v>1890</v>
      </c>
      <c r="AP44" s="670">
        <v>12.16</v>
      </c>
      <c r="AQ44" s="819" t="s">
        <v>298</v>
      </c>
      <c r="AR44" s="670">
        <v>12.16</v>
      </c>
      <c r="AS44" s="670">
        <v>300</v>
      </c>
      <c r="AW44" s="170"/>
      <c r="AX44" s="170"/>
      <c r="AY44" s="170"/>
      <c r="AZ44" s="170"/>
      <c r="BA44" s="9"/>
      <c r="BB44" s="9"/>
      <c r="BC44" s="367"/>
      <c r="BD44" s="976"/>
      <c r="BE44" s="971"/>
      <c r="BF44" s="976"/>
      <c r="BG44" s="365"/>
      <c r="BH44" s="365"/>
      <c r="BM44" s="29"/>
      <c r="BN44" s="30"/>
      <c r="BO44" s="29"/>
      <c r="BQ44" s="29"/>
      <c r="BR44" s="9"/>
      <c r="BS44" s="9"/>
      <c r="BT44" s="9"/>
    </row>
    <row r="45" spans="1:72" s="168" customFormat="1" ht="13.35" customHeight="1" thickBot="1">
      <c r="A45" s="646">
        <v>40</v>
      </c>
      <c r="B45" s="967" t="s">
        <v>1864</v>
      </c>
      <c r="C45" s="967">
        <v>10</v>
      </c>
      <c r="D45" s="968" t="s">
        <v>1188</v>
      </c>
      <c r="E45" s="968" t="s">
        <v>1189</v>
      </c>
      <c r="F45" s="968">
        <v>10.72</v>
      </c>
      <c r="G45" s="967" t="s">
        <v>1498</v>
      </c>
      <c r="H45" s="968">
        <v>6.84</v>
      </c>
      <c r="I45" s="968">
        <v>2800</v>
      </c>
      <c r="J45" s="833">
        <v>81</v>
      </c>
      <c r="K45" s="967" t="s">
        <v>1915</v>
      </c>
      <c r="L45" s="967">
        <v>15</v>
      </c>
      <c r="M45" s="967" t="s">
        <v>350</v>
      </c>
      <c r="N45" s="967" t="s">
        <v>351</v>
      </c>
      <c r="O45" s="968">
        <v>8.75</v>
      </c>
      <c r="P45" s="967" t="s">
        <v>298</v>
      </c>
      <c r="Q45" s="968">
        <v>8.75</v>
      </c>
      <c r="R45" s="968">
        <v>100</v>
      </c>
      <c r="S45" s="646">
        <v>122</v>
      </c>
      <c r="T45" s="968" t="s">
        <v>1916</v>
      </c>
      <c r="U45" s="967">
        <v>15</v>
      </c>
      <c r="V45" s="967" t="s">
        <v>1746</v>
      </c>
      <c r="W45" s="967" t="s">
        <v>1990</v>
      </c>
      <c r="X45" s="968">
        <v>12.29</v>
      </c>
      <c r="Y45" s="967" t="s">
        <v>298</v>
      </c>
      <c r="Z45" s="968">
        <v>12.29</v>
      </c>
      <c r="AA45" s="968">
        <v>150</v>
      </c>
      <c r="AB45" s="833">
        <v>163</v>
      </c>
      <c r="AC45" s="967" t="s">
        <v>1902</v>
      </c>
      <c r="AD45" s="967">
        <v>20</v>
      </c>
      <c r="AE45" s="968" t="s">
        <v>2</v>
      </c>
      <c r="AF45" s="967" t="s">
        <v>3</v>
      </c>
      <c r="AG45" s="968">
        <v>12.990000000000002</v>
      </c>
      <c r="AH45" s="967" t="s">
        <v>298</v>
      </c>
      <c r="AI45" s="968">
        <v>12.990000000000002</v>
      </c>
      <c r="AJ45" s="968">
        <v>125</v>
      </c>
      <c r="AK45" s="646">
        <v>204</v>
      </c>
      <c r="AL45" s="967" t="s">
        <v>1896</v>
      </c>
      <c r="AM45" s="967">
        <v>20</v>
      </c>
      <c r="AN45" s="968" t="s">
        <v>1897</v>
      </c>
      <c r="AO45" s="967" t="s">
        <v>1427</v>
      </c>
      <c r="AP45" s="968">
        <v>12.16</v>
      </c>
      <c r="AQ45" s="967" t="s">
        <v>298</v>
      </c>
      <c r="AR45" s="968">
        <v>12.16</v>
      </c>
      <c r="AS45" s="968">
        <v>300</v>
      </c>
      <c r="AT45" s="9"/>
      <c r="AU45" s="9"/>
      <c r="AV45" s="9"/>
      <c r="AW45" s="9"/>
      <c r="AX45" s="9"/>
      <c r="AY45" s="9"/>
      <c r="AZ45" s="9"/>
      <c r="BA45" s="9"/>
      <c r="BB45" s="9"/>
      <c r="BC45" s="170"/>
      <c r="BD45" s="170"/>
      <c r="BE45" s="170"/>
      <c r="BF45" s="170"/>
      <c r="BG45" s="170"/>
      <c r="BH45" s="170"/>
      <c r="BI45" s="170"/>
      <c r="BJ45" s="269"/>
      <c r="BK45" s="266"/>
      <c r="BM45" s="29"/>
      <c r="BN45" s="30"/>
      <c r="BO45" s="29"/>
      <c r="BQ45" s="29"/>
      <c r="BR45" s="9"/>
      <c r="BS45" s="9"/>
      <c r="BT45" s="9"/>
    </row>
    <row r="46" spans="1:72" s="168" customFormat="1" ht="12.95" customHeight="1">
      <c r="A46" s="896" t="s">
        <v>30</v>
      </c>
      <c r="B46" s="571" t="s">
        <v>1950</v>
      </c>
      <c r="C46" s="8"/>
      <c r="D46" s="8"/>
      <c r="E46" s="8"/>
      <c r="J46" s="1076" t="s">
        <v>16</v>
      </c>
      <c r="K46" s="9" t="s">
        <v>1306</v>
      </c>
      <c r="L46" s="9"/>
      <c r="M46" s="9"/>
      <c r="N46" s="9"/>
      <c r="O46" s="9"/>
      <c r="AT46" s="9"/>
      <c r="AU46" s="9"/>
      <c r="AV46" s="9"/>
      <c r="AW46" s="9"/>
      <c r="AX46" s="9"/>
      <c r="AY46" s="9"/>
      <c r="AZ46" s="9"/>
      <c r="BA46" s="9"/>
      <c r="BB46" s="9"/>
      <c r="BC46" s="170"/>
      <c r="BD46" s="170"/>
      <c r="BE46" s="170"/>
      <c r="BF46" s="170"/>
      <c r="BG46" s="170"/>
      <c r="BH46" s="170"/>
      <c r="BI46" s="170"/>
      <c r="BJ46" s="269"/>
      <c r="BK46" s="266"/>
      <c r="BR46" s="9"/>
      <c r="BS46" s="9"/>
      <c r="BT46" s="9"/>
    </row>
    <row r="47" spans="1:72" s="9" customFormat="1" ht="12.95" customHeight="1">
      <c r="A47" s="896"/>
      <c r="B47" s="571" t="s">
        <v>2781</v>
      </c>
      <c r="C47" s="8"/>
      <c r="D47" s="8"/>
      <c r="E47" s="8"/>
      <c r="F47" s="39"/>
      <c r="G47" s="979"/>
      <c r="H47" s="979"/>
      <c r="I47" s="9" t="s">
        <v>2137</v>
      </c>
      <c r="J47" s="168"/>
      <c r="K47" s="1076"/>
      <c r="Q47" s="55"/>
      <c r="R47" s="55"/>
      <c r="T47" s="819"/>
      <c r="U47" s="819"/>
      <c r="V47" s="819"/>
      <c r="W47" s="819"/>
      <c r="X47" s="670"/>
      <c r="Y47" s="819"/>
      <c r="Z47" s="670"/>
      <c r="AA47" s="670"/>
      <c r="AW47" s="170"/>
      <c r="AX47" s="170"/>
      <c r="AY47" s="170"/>
      <c r="AZ47" s="170"/>
      <c r="BA47" s="66"/>
      <c r="BB47" s="66"/>
      <c r="BC47" s="170"/>
      <c r="BD47" s="170"/>
      <c r="BE47" s="170"/>
      <c r="BF47" s="170"/>
      <c r="BG47" s="170"/>
      <c r="BH47" s="170"/>
      <c r="BI47" s="170"/>
      <c r="BJ47" s="269"/>
      <c r="BK47" s="266"/>
      <c r="BL47" s="168"/>
      <c r="BM47" s="168"/>
      <c r="BN47" s="168"/>
      <c r="BO47" s="168"/>
      <c r="BP47" s="168"/>
      <c r="BQ47" s="168"/>
      <c r="BR47" s="66"/>
      <c r="BS47" s="66"/>
      <c r="BT47" s="66"/>
    </row>
    <row r="48" spans="1:72" s="9" customFormat="1" ht="11.25" customHeight="1">
      <c r="B48" s="66" t="s">
        <v>132</v>
      </c>
      <c r="C48" s="43"/>
      <c r="D48" s="43"/>
      <c r="E48" s="66"/>
      <c r="F48" s="39"/>
      <c r="G48" s="979"/>
      <c r="H48" s="979"/>
      <c r="J48" s="168"/>
      <c r="K48" s="980"/>
      <c r="Q48" s="994"/>
      <c r="R48" s="994"/>
      <c r="T48" s="819"/>
      <c r="U48" s="819"/>
      <c r="V48" s="819"/>
      <c r="W48" s="819"/>
      <c r="X48" s="670"/>
      <c r="Y48" s="819"/>
      <c r="Z48" s="670"/>
      <c r="AA48" s="670"/>
      <c r="AH48" s="162"/>
      <c r="AJ48" s="166"/>
      <c r="AT48" s="66"/>
      <c r="AU48" s="66"/>
      <c r="AV48" s="66"/>
      <c r="AW48" s="170"/>
      <c r="AX48" s="170"/>
      <c r="AY48" s="170"/>
      <c r="AZ48" s="170"/>
      <c r="BA48" s="170"/>
      <c r="BB48" s="6"/>
      <c r="BC48" s="170"/>
      <c r="BD48" s="170"/>
      <c r="BE48" s="170"/>
      <c r="BF48" s="170"/>
      <c r="BG48" s="170"/>
      <c r="BH48" s="170"/>
      <c r="BI48" s="170"/>
      <c r="BJ48" s="251"/>
      <c r="BK48" s="266"/>
      <c r="BL48" s="168"/>
      <c r="BM48" s="168"/>
      <c r="BN48" s="168"/>
      <c r="BO48" s="168"/>
      <c r="BP48" s="168"/>
      <c r="BQ48" s="168"/>
      <c r="BR48" s="66"/>
      <c r="BS48" s="66"/>
      <c r="BT48" s="66"/>
    </row>
    <row r="49" spans="2:72" s="9" customFormat="1" ht="10.5" customHeight="1">
      <c r="I49" s="166"/>
      <c r="J49" s="168"/>
      <c r="R49" s="166"/>
      <c r="T49" s="168"/>
      <c r="U49" s="168"/>
      <c r="V49" s="168"/>
      <c r="W49" s="168"/>
      <c r="X49" s="168"/>
      <c r="Y49" s="168"/>
      <c r="Z49" s="168"/>
      <c r="AA49" s="166"/>
      <c r="AJ49" s="166"/>
      <c r="AR49" s="170"/>
      <c r="AS49" s="166"/>
      <c r="AT49" s="66"/>
      <c r="AU49" s="66"/>
      <c r="AV49" s="66"/>
      <c r="AW49" s="170"/>
      <c r="AX49" s="170"/>
      <c r="AY49" s="170"/>
      <c r="AZ49" s="170"/>
      <c r="BA49" s="170"/>
      <c r="BB49" s="166"/>
      <c r="BC49" s="170"/>
      <c r="BD49" s="505"/>
      <c r="BE49" s="170"/>
      <c r="BF49" s="170"/>
      <c r="BG49" s="170"/>
      <c r="BH49" s="170"/>
      <c r="BI49" s="170"/>
      <c r="BJ49" s="251"/>
      <c r="BK49" s="266"/>
      <c r="BL49" s="1729"/>
      <c r="BM49" s="224"/>
      <c r="BN49" s="224"/>
      <c r="BO49" s="224"/>
      <c r="BP49" s="263"/>
      <c r="BQ49" s="251"/>
      <c r="BR49" s="8"/>
      <c r="BS49" s="8"/>
      <c r="BT49" s="8"/>
    </row>
    <row r="50" spans="2:72" s="66" customFormat="1" ht="10.5" customHeight="1">
      <c r="B50" s="807"/>
      <c r="C50" s="819"/>
      <c r="D50" s="819"/>
      <c r="E50" s="819"/>
      <c r="F50" s="670"/>
      <c r="G50" s="819"/>
      <c r="H50" s="670"/>
      <c r="I50" s="670"/>
      <c r="J50" s="180"/>
      <c r="R50" s="6"/>
      <c r="T50" s="180"/>
      <c r="U50" s="180"/>
      <c r="V50" s="180"/>
      <c r="W50" s="180"/>
      <c r="X50" s="180"/>
      <c r="Y50" s="180"/>
      <c r="Z50" s="180"/>
      <c r="AA50" s="1726"/>
      <c r="AJ50" s="6"/>
      <c r="AR50" s="170"/>
      <c r="AS50" s="1702"/>
      <c r="AT50" s="170"/>
      <c r="AU50" s="170"/>
      <c r="AV50" s="170"/>
      <c r="AW50" s="170"/>
      <c r="AX50" s="170"/>
      <c r="AY50" s="170"/>
      <c r="AZ50" s="170"/>
      <c r="BA50" s="170"/>
      <c r="BB50" s="1702"/>
      <c r="BC50" s="170"/>
      <c r="BD50" s="505"/>
      <c r="BE50" s="170"/>
      <c r="BF50" s="170"/>
      <c r="BG50" s="170"/>
      <c r="BH50" s="170"/>
      <c r="BI50" s="170"/>
      <c r="BJ50" s="251"/>
      <c r="BK50" s="266"/>
      <c r="BL50" s="1729"/>
      <c r="BM50" s="228"/>
      <c r="BN50" s="29"/>
      <c r="BO50" s="228"/>
      <c r="BP50" s="258"/>
      <c r="BQ50" s="251"/>
      <c r="BR50" s="8"/>
      <c r="BS50" s="8"/>
      <c r="BT50" s="8"/>
    </row>
    <row r="51" spans="2:72" s="66" customFormat="1" ht="11.25" customHeight="1">
      <c r="B51" s="895"/>
      <c r="C51" s="819"/>
      <c r="D51" s="819"/>
      <c r="E51" s="819"/>
      <c r="F51" s="670"/>
      <c r="G51" s="819"/>
      <c r="H51" s="670"/>
      <c r="I51" s="670"/>
      <c r="J51" s="274"/>
      <c r="K51" s="180"/>
      <c r="L51" s="180"/>
      <c r="M51" s="180"/>
      <c r="N51" s="180"/>
      <c r="O51" s="180"/>
      <c r="P51" s="180"/>
      <c r="R51" s="6"/>
      <c r="T51" s="819"/>
      <c r="U51" s="819"/>
      <c r="V51" s="819"/>
      <c r="W51" s="819"/>
      <c r="X51" s="670"/>
      <c r="Y51" s="819"/>
      <c r="Z51" s="670"/>
      <c r="AA51" s="670"/>
      <c r="AJ51" s="6"/>
      <c r="AR51" s="170"/>
      <c r="AS51" s="1702"/>
      <c r="AT51" s="170"/>
      <c r="AU51" s="170"/>
      <c r="AV51" s="170"/>
      <c r="AW51" s="170"/>
      <c r="AX51" s="170"/>
      <c r="AY51" s="170"/>
      <c r="AZ51" s="170"/>
      <c r="BA51" s="170"/>
      <c r="BB51" s="277"/>
      <c r="BC51" s="170"/>
      <c r="BD51" s="170"/>
      <c r="BE51" s="170"/>
      <c r="BF51" s="170"/>
      <c r="BG51" s="170"/>
      <c r="BH51" s="170"/>
      <c r="BI51" s="170"/>
      <c r="BJ51" s="251"/>
      <c r="BK51" s="266"/>
      <c r="BL51" s="1729"/>
      <c r="BM51" s="273"/>
      <c r="BN51" s="251"/>
      <c r="BO51" s="273"/>
      <c r="BP51" s="258"/>
      <c r="BQ51" s="251"/>
      <c r="BR51" s="8"/>
      <c r="BS51" s="8"/>
      <c r="BT51" s="8"/>
    </row>
    <row r="52" spans="2:72" ht="13.5" customHeight="1">
      <c r="H52" s="999"/>
      <c r="I52" s="88"/>
      <c r="BJ52" s="251"/>
      <c r="BK52" s="266"/>
      <c r="BL52" s="1729"/>
      <c r="BM52" s="273"/>
      <c r="BN52" s="15"/>
      <c r="BO52" s="273"/>
      <c r="BP52" s="258"/>
      <c r="BQ52" s="251"/>
    </row>
    <row r="53" spans="2:72" ht="12" customHeight="1">
      <c r="BJ53" s="251"/>
      <c r="BK53" s="266"/>
      <c r="BL53" s="1729"/>
      <c r="BM53" s="273"/>
      <c r="BN53" s="251"/>
      <c r="BO53" s="273"/>
      <c r="BP53" s="258"/>
      <c r="BQ53" s="251"/>
    </row>
    <row r="54" spans="2:72" ht="12.75" customHeight="1">
      <c r="BK54" s="266"/>
      <c r="BL54" s="1729"/>
      <c r="BM54" s="228"/>
      <c r="BN54" s="29"/>
      <c r="BO54" s="228"/>
      <c r="BP54" s="258"/>
      <c r="BQ54" s="251"/>
      <c r="BR54" s="170"/>
      <c r="BS54" s="170"/>
      <c r="BT54" s="170"/>
    </row>
    <row r="55" spans="2:72" ht="12" customHeight="1">
      <c r="BK55" s="266"/>
      <c r="BL55" s="1729"/>
      <c r="BM55" s="228"/>
      <c r="BN55" s="30"/>
      <c r="BO55" s="228"/>
      <c r="BP55" s="258"/>
      <c r="BQ55" s="251"/>
      <c r="BR55" s="170"/>
      <c r="BS55" s="170"/>
      <c r="BT55" s="170"/>
    </row>
    <row r="56" spans="2:72" ht="11.25" customHeight="1">
      <c r="I56" s="88"/>
      <c r="BK56" s="266"/>
      <c r="BL56" s="1729"/>
      <c r="BM56" s="228"/>
      <c r="BN56" s="30"/>
      <c r="BO56" s="228"/>
      <c r="BP56" s="258"/>
      <c r="BQ56" s="251"/>
      <c r="BR56" s="170"/>
      <c r="BS56" s="170"/>
      <c r="BT56" s="170"/>
    </row>
    <row r="57" spans="2:72" s="170" customFormat="1" ht="22.5" customHeight="1">
      <c r="B57" s="276"/>
      <c r="H57" s="276"/>
      <c r="J57" s="275"/>
      <c r="O57" s="276"/>
      <c r="R57" s="275"/>
      <c r="W57" s="276"/>
      <c r="Z57" s="277"/>
      <c r="AK57" s="277"/>
      <c r="AS57" s="277"/>
      <c r="BB57" s="277"/>
      <c r="BC57" s="261"/>
      <c r="BD57" s="261"/>
      <c r="BE57" s="261"/>
      <c r="BF57" s="261"/>
      <c r="BG57" s="261"/>
      <c r="BH57" s="261"/>
      <c r="BI57" s="261"/>
      <c r="BK57" s="266"/>
      <c r="BL57" s="1729"/>
      <c r="BM57" s="228"/>
      <c r="BN57" s="30"/>
      <c r="BO57" s="228"/>
      <c r="BP57" s="258"/>
      <c r="BQ57" s="251"/>
    </row>
    <row r="58" spans="2:72" s="170" customFormat="1" ht="22.5" customHeight="1">
      <c r="B58" s="276"/>
      <c r="H58" s="276"/>
      <c r="J58" s="275"/>
      <c r="O58" s="276"/>
      <c r="R58" s="275"/>
      <c r="W58" s="276"/>
      <c r="Z58" s="277"/>
      <c r="AK58" s="277"/>
      <c r="AS58" s="277"/>
      <c r="BB58" s="277"/>
      <c r="BC58" s="261"/>
      <c r="BD58" s="261"/>
      <c r="BE58" s="261"/>
      <c r="BF58" s="261"/>
      <c r="BG58" s="261"/>
      <c r="BH58" s="261"/>
      <c r="BI58" s="261"/>
      <c r="BK58" s="277"/>
      <c r="BL58" s="1729"/>
      <c r="BM58" s="228"/>
      <c r="BN58" s="30"/>
      <c r="BO58" s="228"/>
      <c r="BP58" s="258"/>
      <c r="BQ58" s="251"/>
    </row>
    <row r="59" spans="2:72" s="170" customFormat="1" ht="22.5" customHeight="1">
      <c r="B59" s="276"/>
      <c r="H59" s="276"/>
      <c r="J59" s="275"/>
      <c r="O59" s="276"/>
      <c r="R59" s="275"/>
      <c r="W59" s="276"/>
      <c r="Z59" s="277"/>
      <c r="AK59" s="277"/>
      <c r="AS59" s="277"/>
      <c r="BC59" s="261"/>
      <c r="BD59" s="261"/>
      <c r="BE59" s="261"/>
      <c r="BF59" s="261"/>
      <c r="BG59" s="261"/>
      <c r="BH59" s="261"/>
      <c r="BI59" s="261"/>
      <c r="BK59" s="277"/>
      <c r="BL59" s="1729"/>
      <c r="BM59" s="228"/>
      <c r="BN59" s="30"/>
      <c r="BO59" s="228"/>
      <c r="BP59" s="258"/>
      <c r="BQ59" s="251"/>
    </row>
    <row r="60" spans="2:72" s="170" customFormat="1" ht="22.5" customHeight="1">
      <c r="B60" s="276"/>
      <c r="H60" s="276"/>
      <c r="J60" s="275"/>
      <c r="O60" s="276"/>
      <c r="R60" s="275"/>
      <c r="W60" s="276"/>
      <c r="Z60" s="277"/>
      <c r="AK60" s="277"/>
      <c r="AS60" s="277"/>
      <c r="BB60" s="277"/>
      <c r="BC60" s="261"/>
      <c r="BD60" s="261"/>
      <c r="BE60" s="261"/>
      <c r="BF60" s="261"/>
      <c r="BG60" s="261"/>
      <c r="BH60" s="261"/>
      <c r="BI60" s="261"/>
      <c r="BK60" s="277"/>
      <c r="BL60" s="1729"/>
      <c r="BM60" s="228"/>
      <c r="BN60" s="30"/>
      <c r="BO60" s="228"/>
      <c r="BP60" s="258"/>
      <c r="BQ60" s="251"/>
    </row>
    <row r="61" spans="2:72" s="170" customFormat="1" ht="22.5" customHeight="1">
      <c r="B61" s="276"/>
      <c r="H61" s="276"/>
      <c r="J61" s="275"/>
      <c r="O61" s="276"/>
      <c r="R61" s="275"/>
      <c r="W61" s="276"/>
      <c r="Z61" s="277"/>
      <c r="AK61" s="277"/>
      <c r="AS61" s="277"/>
      <c r="BB61" s="277"/>
      <c r="BC61" s="261"/>
      <c r="BD61" s="261"/>
      <c r="BE61" s="261"/>
      <c r="BF61" s="261"/>
      <c r="BG61" s="261"/>
      <c r="BH61" s="261"/>
      <c r="BI61" s="261"/>
      <c r="BK61" s="277"/>
      <c r="BL61" s="1729"/>
      <c r="BM61" s="228"/>
      <c r="BN61" s="30"/>
      <c r="BO61" s="228"/>
      <c r="BP61" s="258"/>
      <c r="BQ61" s="251"/>
    </row>
    <row r="62" spans="2:72" s="170" customFormat="1" ht="22.5" customHeight="1">
      <c r="B62" s="276"/>
      <c r="H62" s="276"/>
      <c r="J62" s="275"/>
      <c r="O62" s="276"/>
      <c r="R62" s="275"/>
      <c r="W62" s="276"/>
      <c r="Z62" s="277"/>
      <c r="AK62" s="277"/>
      <c r="BB62" s="277"/>
      <c r="BC62" s="261"/>
      <c r="BD62" s="261"/>
      <c r="BE62" s="261"/>
      <c r="BF62" s="261"/>
      <c r="BG62" s="261"/>
      <c r="BH62" s="261"/>
      <c r="BI62" s="261"/>
      <c r="BJ62" s="261"/>
      <c r="BK62" s="277"/>
      <c r="BL62" s="1729"/>
      <c r="BM62" s="228"/>
      <c r="BN62" s="30"/>
      <c r="BO62" s="228"/>
      <c r="BP62" s="258"/>
      <c r="BQ62" s="251"/>
    </row>
    <row r="63" spans="2:72" s="170" customFormat="1" ht="22.5" customHeight="1">
      <c r="B63" s="276"/>
      <c r="H63" s="276"/>
      <c r="J63" s="275"/>
      <c r="O63" s="276"/>
      <c r="R63" s="275"/>
      <c r="W63" s="276"/>
      <c r="Z63" s="277"/>
      <c r="AK63" s="277"/>
      <c r="AS63" s="277"/>
      <c r="BA63" s="261"/>
      <c r="BB63" s="277"/>
      <c r="BC63" s="261"/>
      <c r="BD63" s="261"/>
      <c r="BE63" s="261"/>
      <c r="BF63" s="261"/>
      <c r="BG63" s="261"/>
      <c r="BH63" s="261"/>
      <c r="BI63" s="261"/>
      <c r="BJ63" s="261"/>
      <c r="BK63" s="277"/>
      <c r="BL63" s="1729"/>
      <c r="BM63" s="228"/>
      <c r="BN63" s="30"/>
      <c r="BO63" s="228"/>
      <c r="BP63" s="258"/>
      <c r="BQ63" s="251"/>
      <c r="BR63" s="8"/>
      <c r="BS63" s="8"/>
      <c r="BT63" s="8"/>
    </row>
    <row r="64" spans="2:72" s="170" customFormat="1" ht="22.5" customHeight="1">
      <c r="B64" s="276"/>
      <c r="H64" s="276"/>
      <c r="J64" s="275"/>
      <c r="O64" s="276"/>
      <c r="R64" s="275"/>
      <c r="W64" s="276"/>
      <c r="Z64" s="277"/>
      <c r="AK64" s="277"/>
      <c r="AS64" s="277"/>
      <c r="BA64" s="261"/>
      <c r="BB64" s="277"/>
      <c r="BC64" s="261"/>
      <c r="BD64" s="261"/>
      <c r="BE64" s="261"/>
      <c r="BF64" s="261"/>
      <c r="BG64" s="261"/>
      <c r="BH64" s="261"/>
      <c r="BI64" s="261"/>
      <c r="BJ64" s="261"/>
      <c r="BK64" s="277"/>
      <c r="BR64" s="98"/>
      <c r="BS64" s="98"/>
      <c r="BT64" s="98"/>
    </row>
    <row r="65" spans="2:72" s="170" customFormat="1" ht="22.5" customHeight="1">
      <c r="B65" s="276"/>
      <c r="H65" s="276"/>
      <c r="J65" s="275"/>
      <c r="O65" s="276"/>
      <c r="R65" s="275"/>
      <c r="W65" s="276"/>
      <c r="Z65" s="277"/>
      <c r="AK65" s="277"/>
      <c r="AS65" s="277"/>
      <c r="AT65" s="98"/>
      <c r="AU65" s="98"/>
      <c r="AV65" s="98"/>
      <c r="AW65" s="261"/>
      <c r="AX65" s="261"/>
      <c r="AY65" s="261"/>
      <c r="AZ65" s="261"/>
      <c r="BA65" s="261"/>
      <c r="BB65" s="277"/>
      <c r="BC65" s="261"/>
      <c r="BD65" s="261"/>
      <c r="BE65" s="261"/>
      <c r="BF65" s="261"/>
      <c r="BG65" s="261"/>
      <c r="BH65" s="261"/>
      <c r="BI65" s="261"/>
      <c r="BJ65" s="251"/>
      <c r="BK65" s="277"/>
      <c r="BR65" s="98"/>
      <c r="BS65" s="98"/>
      <c r="BT65" s="98"/>
    </row>
    <row r="66" spans="2:72" ht="22.5" customHeight="1">
      <c r="AT66" s="98"/>
      <c r="AU66" s="98"/>
      <c r="AV66" s="98"/>
      <c r="AW66" s="261"/>
      <c r="AX66" s="261"/>
      <c r="AY66" s="261"/>
      <c r="AZ66" s="261"/>
      <c r="BA66" s="261"/>
      <c r="BC66" s="261"/>
      <c r="BD66" s="261"/>
      <c r="BE66" s="261"/>
      <c r="BF66" s="261"/>
      <c r="BG66" s="261"/>
      <c r="BH66" s="261"/>
      <c r="BI66" s="261"/>
      <c r="BJ66" s="251"/>
      <c r="BR66" s="98"/>
      <c r="BS66" s="98"/>
      <c r="BT66" s="98"/>
    </row>
    <row r="67" spans="2:72" s="98" customFormat="1" ht="22.5" customHeight="1">
      <c r="J67" s="277"/>
      <c r="K67" s="261"/>
      <c r="L67" s="261"/>
      <c r="M67" s="261"/>
      <c r="N67" s="261"/>
      <c r="O67" s="261"/>
      <c r="P67" s="261"/>
      <c r="Q67" s="261"/>
      <c r="R67" s="277"/>
      <c r="S67" s="261"/>
      <c r="T67" s="261"/>
      <c r="U67" s="261"/>
      <c r="V67" s="261"/>
      <c r="W67" s="261"/>
      <c r="X67" s="261"/>
      <c r="AR67" s="261"/>
      <c r="AS67" s="277"/>
      <c r="AW67" s="261"/>
      <c r="AX67" s="261"/>
      <c r="AY67" s="261"/>
      <c r="AZ67" s="261"/>
      <c r="BA67" s="261"/>
      <c r="BB67" s="277"/>
      <c r="BC67" s="261"/>
      <c r="BD67" s="261"/>
      <c r="BE67" s="261"/>
      <c r="BF67" s="261"/>
      <c r="BG67" s="261"/>
      <c r="BH67" s="261"/>
      <c r="BI67" s="261"/>
      <c r="BJ67" s="251"/>
      <c r="BK67" s="277"/>
      <c r="BL67" s="170"/>
      <c r="BM67" s="170"/>
      <c r="BN67" s="170"/>
      <c r="BO67" s="170"/>
      <c r="BP67" s="170"/>
      <c r="BQ67" s="170"/>
    </row>
    <row r="68" spans="2:72" s="98" customFormat="1" ht="22.5" customHeight="1">
      <c r="J68" s="277"/>
      <c r="K68" s="261"/>
      <c r="L68" s="261"/>
      <c r="M68" s="261"/>
      <c r="N68" s="261"/>
      <c r="O68" s="261"/>
      <c r="P68" s="261"/>
      <c r="Q68" s="261"/>
      <c r="R68" s="277"/>
      <c r="S68" s="261"/>
      <c r="T68" s="261"/>
      <c r="U68" s="261"/>
      <c r="V68" s="261"/>
      <c r="W68" s="261"/>
      <c r="X68" s="261"/>
      <c r="Y68" s="261"/>
      <c r="Z68" s="277"/>
      <c r="AA68" s="261"/>
      <c r="AB68" s="261"/>
      <c r="AC68" s="261"/>
      <c r="AD68" s="261"/>
      <c r="AE68" s="261"/>
      <c r="AF68" s="261"/>
      <c r="AG68" s="261"/>
      <c r="AH68" s="261"/>
      <c r="AI68" s="261"/>
      <c r="AR68" s="261"/>
      <c r="AS68" s="277"/>
      <c r="AW68" s="261"/>
      <c r="AX68" s="261"/>
      <c r="AY68" s="278"/>
      <c r="AZ68" s="261"/>
      <c r="BA68" s="261"/>
      <c r="BB68" s="277"/>
      <c r="BC68" s="261"/>
      <c r="BD68" s="261"/>
      <c r="BE68" s="261"/>
      <c r="BF68" s="261"/>
      <c r="BG68" s="261"/>
      <c r="BH68" s="261"/>
      <c r="BI68" s="261"/>
      <c r="BJ68" s="261"/>
      <c r="BK68" s="277"/>
      <c r="BL68" s="261"/>
      <c r="BM68" s="261"/>
      <c r="BN68" s="261"/>
      <c r="BO68" s="261"/>
      <c r="BP68" s="261"/>
      <c r="BQ68" s="261"/>
    </row>
    <row r="69" spans="2:72" s="98" customFormat="1" ht="22.5" customHeight="1">
      <c r="J69" s="277"/>
      <c r="K69" s="261"/>
      <c r="L69" s="261"/>
      <c r="M69" s="261"/>
      <c r="N69" s="261"/>
      <c r="O69" s="261"/>
      <c r="P69" s="261"/>
      <c r="Q69" s="261"/>
      <c r="R69" s="277"/>
      <c r="S69" s="261"/>
      <c r="T69" s="261"/>
      <c r="U69" s="261"/>
      <c r="V69" s="261"/>
      <c r="W69" s="261"/>
      <c r="X69" s="261"/>
      <c r="Y69" s="261"/>
      <c r="Z69" s="277"/>
      <c r="AA69" s="261"/>
      <c r="AB69" s="261"/>
      <c r="AC69" s="261"/>
      <c r="AD69" s="261"/>
      <c r="AE69" s="261"/>
      <c r="AF69" s="261"/>
      <c r="AG69" s="261"/>
      <c r="AH69" s="261"/>
      <c r="AI69" s="261"/>
      <c r="AR69" s="261"/>
      <c r="AS69" s="277"/>
      <c r="AW69" s="261"/>
      <c r="AX69" s="261"/>
      <c r="AY69" s="278"/>
      <c r="AZ69" s="261"/>
      <c r="BA69" s="261"/>
      <c r="BB69" s="277"/>
      <c r="BC69" s="261"/>
      <c r="BD69" s="261"/>
      <c r="BE69" s="261"/>
      <c r="BF69" s="261"/>
      <c r="BG69" s="261"/>
      <c r="BH69" s="261"/>
      <c r="BI69" s="261"/>
      <c r="BJ69" s="261"/>
      <c r="BK69" s="277"/>
      <c r="BL69" s="261"/>
      <c r="BM69" s="261"/>
      <c r="BN69" s="261"/>
      <c r="BO69" s="261"/>
      <c r="BP69" s="261"/>
      <c r="BQ69" s="261"/>
    </row>
    <row r="70" spans="2:72" s="98" customFormat="1" ht="22.5" customHeight="1">
      <c r="J70" s="277"/>
      <c r="K70" s="261"/>
      <c r="L70" s="261"/>
      <c r="M70" s="261"/>
      <c r="N70" s="261"/>
      <c r="O70" s="261"/>
      <c r="P70" s="261"/>
      <c r="Q70" s="261"/>
      <c r="R70" s="277"/>
      <c r="S70" s="261"/>
      <c r="T70" s="261"/>
      <c r="U70" s="261"/>
      <c r="V70" s="261"/>
      <c r="W70" s="261"/>
      <c r="X70" s="261"/>
      <c r="Y70" s="261"/>
      <c r="Z70" s="277"/>
      <c r="AA70" s="261"/>
      <c r="AB70" s="261"/>
      <c r="AC70" s="261"/>
      <c r="AD70" s="261"/>
      <c r="AE70" s="261"/>
      <c r="AF70" s="261"/>
      <c r="AG70" s="261"/>
      <c r="AH70" s="261"/>
      <c r="AI70" s="261"/>
      <c r="AJ70" s="261"/>
      <c r="AK70" s="277"/>
      <c r="AL70" s="261"/>
      <c r="AM70" s="261"/>
      <c r="AN70" s="261"/>
      <c r="AO70" s="261"/>
      <c r="AP70" s="261"/>
      <c r="AQ70" s="261"/>
      <c r="AR70" s="251"/>
      <c r="AS70" s="277"/>
      <c r="AW70" s="261"/>
      <c r="AX70" s="261"/>
      <c r="AY70" s="278"/>
      <c r="AZ70" s="261"/>
      <c r="BA70" s="261"/>
      <c r="BB70" s="277"/>
      <c r="BC70" s="261"/>
      <c r="BD70" s="261"/>
      <c r="BE70" s="261"/>
      <c r="BF70" s="261"/>
      <c r="BG70" s="261"/>
      <c r="BH70" s="261"/>
      <c r="BI70" s="261"/>
      <c r="BJ70" s="261"/>
      <c r="BK70" s="277"/>
      <c r="BL70" s="261"/>
      <c r="BM70" s="261"/>
      <c r="BN70" s="261"/>
      <c r="BO70" s="261"/>
      <c r="BP70" s="261"/>
      <c r="BQ70" s="261"/>
    </row>
    <row r="71" spans="2:72" s="98" customFormat="1" ht="22.5" customHeight="1">
      <c r="J71" s="277"/>
      <c r="K71" s="261"/>
      <c r="L71" s="261"/>
      <c r="M71" s="261"/>
      <c r="N71" s="261"/>
      <c r="O71" s="261"/>
      <c r="P71" s="261"/>
      <c r="Q71" s="261"/>
      <c r="R71" s="277"/>
      <c r="S71" s="261"/>
      <c r="T71" s="261"/>
      <c r="U71" s="261"/>
      <c r="V71" s="261"/>
      <c r="W71" s="261"/>
      <c r="X71" s="261"/>
      <c r="Y71" s="261"/>
      <c r="Z71" s="277"/>
      <c r="AA71" s="261"/>
      <c r="AB71" s="261"/>
      <c r="AC71" s="261"/>
      <c r="AD71" s="261"/>
      <c r="AE71" s="261"/>
      <c r="AF71" s="261"/>
      <c r="AG71" s="261"/>
      <c r="AH71" s="261"/>
      <c r="AI71" s="261"/>
      <c r="AR71" s="251"/>
      <c r="AS71" s="277"/>
      <c r="AT71" s="261"/>
      <c r="AU71" s="261"/>
      <c r="AV71" s="261"/>
      <c r="AW71" s="261"/>
      <c r="AX71" s="261"/>
      <c r="AY71" s="261"/>
      <c r="AZ71" s="261"/>
      <c r="BA71" s="261"/>
      <c r="BB71" s="277"/>
      <c r="BC71" s="261"/>
      <c r="BD71" s="261"/>
      <c r="BE71" s="261"/>
      <c r="BF71" s="261"/>
      <c r="BG71" s="261"/>
      <c r="BH71" s="261"/>
      <c r="BI71" s="261"/>
      <c r="BJ71" s="261"/>
      <c r="BK71" s="277"/>
      <c r="BL71" s="261"/>
      <c r="BM71" s="261"/>
      <c r="BN71" s="261"/>
      <c r="BO71" s="261"/>
      <c r="BP71" s="278"/>
      <c r="BQ71" s="261"/>
    </row>
    <row r="72" spans="2:72" s="98" customFormat="1" ht="22.5" customHeight="1">
      <c r="J72" s="277"/>
      <c r="K72" s="261"/>
      <c r="L72" s="261"/>
      <c r="M72" s="261"/>
      <c r="N72" s="261"/>
      <c r="O72" s="261"/>
      <c r="P72" s="261"/>
      <c r="Q72" s="261"/>
      <c r="R72" s="277"/>
      <c r="S72" s="261"/>
      <c r="T72" s="261"/>
      <c r="U72" s="261"/>
      <c r="V72" s="261"/>
      <c r="W72" s="261"/>
      <c r="X72" s="261"/>
      <c r="Y72" s="261"/>
      <c r="Z72" s="277"/>
      <c r="AA72" s="261"/>
      <c r="AB72" s="261"/>
      <c r="AC72" s="261"/>
      <c r="AD72" s="261"/>
      <c r="AE72" s="261"/>
      <c r="AF72" s="261"/>
      <c r="AG72" s="261"/>
      <c r="AH72" s="261"/>
      <c r="AI72" s="261"/>
      <c r="AR72" s="251"/>
      <c r="AS72" s="277"/>
      <c r="AT72" s="261"/>
      <c r="AU72" s="261"/>
      <c r="AV72" s="261"/>
      <c r="AW72" s="261"/>
      <c r="AX72" s="261"/>
      <c r="AY72" s="261"/>
      <c r="AZ72" s="261"/>
      <c r="BA72" s="261"/>
      <c r="BB72" s="277"/>
      <c r="BC72" s="261"/>
      <c r="BD72" s="261"/>
      <c r="BE72" s="261"/>
      <c r="BF72" s="261"/>
      <c r="BG72" s="261"/>
      <c r="BH72" s="261"/>
      <c r="BI72" s="261"/>
      <c r="BJ72" s="261"/>
      <c r="BK72" s="277"/>
      <c r="BL72" s="261"/>
      <c r="BM72" s="261"/>
      <c r="BN72" s="261"/>
      <c r="BO72" s="261"/>
      <c r="BP72" s="278"/>
      <c r="BQ72" s="261"/>
    </row>
    <row r="73" spans="2:72" s="98" customFormat="1" ht="22.5" customHeight="1">
      <c r="J73" s="277"/>
      <c r="K73" s="261"/>
      <c r="L73" s="261"/>
      <c r="M73" s="261"/>
      <c r="N73" s="261"/>
      <c r="O73" s="261"/>
      <c r="P73" s="261"/>
      <c r="Q73" s="261"/>
      <c r="R73" s="277"/>
      <c r="S73" s="261"/>
      <c r="T73" s="261"/>
      <c r="U73" s="261"/>
      <c r="V73" s="261"/>
      <c r="W73" s="261"/>
      <c r="X73" s="261"/>
      <c r="Y73" s="261"/>
      <c r="Z73" s="277"/>
      <c r="AA73" s="261"/>
      <c r="AB73" s="261"/>
      <c r="AC73" s="261"/>
      <c r="AD73" s="261"/>
      <c r="AE73" s="261"/>
      <c r="AF73" s="261"/>
      <c r="AG73" s="261"/>
      <c r="AH73" s="261"/>
      <c r="AI73" s="261"/>
      <c r="AR73" s="261"/>
      <c r="AS73" s="277"/>
      <c r="AT73" s="261"/>
      <c r="AU73" s="261"/>
      <c r="AV73" s="261"/>
      <c r="AW73" s="261"/>
      <c r="AX73" s="261"/>
      <c r="AY73" s="261"/>
      <c r="AZ73" s="261"/>
      <c r="BA73" s="261"/>
      <c r="BB73" s="277"/>
      <c r="BC73" s="261"/>
      <c r="BD73" s="261"/>
      <c r="BE73" s="261"/>
      <c r="BF73" s="261"/>
      <c r="BG73" s="261"/>
      <c r="BH73" s="261"/>
      <c r="BI73" s="261"/>
      <c r="BJ73" s="261"/>
      <c r="BK73" s="277"/>
      <c r="BL73" s="261"/>
      <c r="BM73" s="261"/>
      <c r="BN73" s="261"/>
      <c r="BO73" s="261"/>
      <c r="BP73" s="278"/>
      <c r="BQ73" s="261"/>
    </row>
    <row r="74" spans="2:72" s="98" customFormat="1" ht="22.5" customHeight="1">
      <c r="J74" s="277"/>
      <c r="K74" s="261"/>
      <c r="L74" s="261"/>
      <c r="M74" s="261"/>
      <c r="N74" s="261"/>
      <c r="O74" s="261"/>
      <c r="P74" s="261"/>
      <c r="Q74" s="261"/>
      <c r="R74" s="277"/>
      <c r="S74" s="261"/>
      <c r="T74" s="261"/>
      <c r="U74" s="261"/>
      <c r="V74" s="261"/>
      <c r="W74" s="261"/>
      <c r="X74" s="261"/>
      <c r="Y74" s="261"/>
      <c r="Z74" s="277"/>
      <c r="AA74" s="261"/>
      <c r="AB74" s="261"/>
      <c r="AC74" s="261"/>
      <c r="AD74" s="261"/>
      <c r="AE74" s="261"/>
      <c r="AF74" s="261"/>
      <c r="AG74" s="261"/>
      <c r="AH74" s="261"/>
      <c r="AI74" s="261"/>
      <c r="AR74" s="261"/>
      <c r="AS74" s="277"/>
      <c r="AT74" s="261"/>
      <c r="AU74" s="261"/>
      <c r="AV74" s="261"/>
      <c r="AW74" s="261"/>
      <c r="AX74" s="261"/>
      <c r="AY74" s="261"/>
      <c r="AZ74" s="261"/>
      <c r="BA74" s="261"/>
      <c r="BB74" s="277"/>
      <c r="BC74" s="261"/>
      <c r="BD74" s="261"/>
      <c r="BE74" s="261"/>
      <c r="BF74" s="261"/>
      <c r="BG74" s="261"/>
      <c r="BH74" s="261"/>
      <c r="BI74" s="261"/>
      <c r="BJ74" s="261"/>
      <c r="BK74" s="277"/>
      <c r="BL74" s="261"/>
      <c r="BM74" s="261"/>
      <c r="BN74" s="261"/>
      <c r="BO74" s="261"/>
      <c r="BP74" s="261"/>
      <c r="BQ74" s="261"/>
    </row>
    <row r="75" spans="2:72" s="98" customFormat="1" ht="22.5" customHeight="1">
      <c r="J75" s="277"/>
      <c r="K75" s="261"/>
      <c r="L75" s="261"/>
      <c r="M75" s="261"/>
      <c r="N75" s="261"/>
      <c r="O75" s="261"/>
      <c r="P75" s="261"/>
      <c r="Q75" s="261"/>
      <c r="R75" s="277"/>
      <c r="S75" s="261"/>
      <c r="T75" s="261"/>
      <c r="U75" s="261"/>
      <c r="V75" s="261"/>
      <c r="W75" s="261"/>
      <c r="X75" s="261"/>
      <c r="Y75" s="261"/>
      <c r="Z75" s="277"/>
      <c r="AA75" s="261"/>
      <c r="AB75" s="261"/>
      <c r="AC75" s="261"/>
      <c r="AD75" s="261"/>
      <c r="AE75" s="261"/>
      <c r="AF75" s="261"/>
      <c r="AG75" s="261"/>
      <c r="AH75" s="261"/>
      <c r="AI75" s="261"/>
      <c r="AR75" s="261"/>
      <c r="AS75" s="277"/>
      <c r="AT75" s="261"/>
      <c r="AU75" s="261"/>
      <c r="AV75" s="261"/>
      <c r="AW75" s="261"/>
      <c r="AX75" s="261"/>
      <c r="AY75" s="261"/>
      <c r="AZ75" s="261"/>
      <c r="BA75" s="261"/>
      <c r="BB75" s="277"/>
      <c r="BC75" s="261"/>
      <c r="BD75" s="261"/>
      <c r="BE75" s="261"/>
      <c r="BF75" s="261"/>
      <c r="BG75" s="261"/>
      <c r="BH75" s="261"/>
      <c r="BI75" s="261"/>
      <c r="BJ75" s="261"/>
      <c r="BK75" s="277"/>
      <c r="BL75" s="261"/>
      <c r="BM75" s="261"/>
      <c r="BN75" s="261"/>
      <c r="BO75" s="261"/>
      <c r="BP75" s="261"/>
      <c r="BQ75" s="261"/>
    </row>
    <row r="76" spans="2:72" s="98" customFormat="1" ht="22.5" customHeight="1">
      <c r="J76" s="277"/>
      <c r="K76" s="261"/>
      <c r="L76" s="261"/>
      <c r="M76" s="261"/>
      <c r="N76" s="261"/>
      <c r="O76" s="261"/>
      <c r="P76" s="261"/>
      <c r="Q76" s="261"/>
      <c r="R76" s="277"/>
      <c r="S76" s="261"/>
      <c r="T76" s="261"/>
      <c r="U76" s="261"/>
      <c r="V76" s="261"/>
      <c r="W76" s="261"/>
      <c r="X76" s="261"/>
      <c r="Y76" s="261"/>
      <c r="Z76" s="277"/>
      <c r="AA76" s="261"/>
      <c r="AB76" s="261"/>
      <c r="AC76" s="261"/>
      <c r="AD76" s="261"/>
      <c r="AE76" s="261"/>
      <c r="AF76" s="261"/>
      <c r="AG76" s="261"/>
      <c r="AH76" s="261"/>
      <c r="AI76" s="261"/>
      <c r="AR76" s="261"/>
      <c r="AS76" s="277"/>
      <c r="AT76" s="261"/>
      <c r="AU76" s="261"/>
      <c r="AV76" s="261"/>
      <c r="AW76" s="261"/>
      <c r="AX76" s="261"/>
      <c r="AY76" s="261"/>
      <c r="AZ76" s="261"/>
      <c r="BA76" s="261"/>
      <c r="BB76" s="277"/>
      <c r="BC76" s="261"/>
      <c r="BD76" s="261"/>
      <c r="BE76" s="261"/>
      <c r="BF76" s="261"/>
      <c r="BG76" s="261"/>
      <c r="BH76" s="261"/>
      <c r="BI76" s="261"/>
      <c r="BJ76" s="261"/>
      <c r="BK76" s="277"/>
      <c r="BL76" s="261"/>
      <c r="BM76" s="261"/>
      <c r="BN76" s="261"/>
      <c r="BO76" s="261"/>
      <c r="BP76" s="261"/>
      <c r="BQ76" s="261"/>
    </row>
    <row r="77" spans="2:72" s="98" customFormat="1" ht="22.5" customHeight="1">
      <c r="J77" s="277"/>
      <c r="K77" s="261"/>
      <c r="L77" s="261"/>
      <c r="M77" s="261"/>
      <c r="N77" s="261"/>
      <c r="O77" s="261"/>
      <c r="P77" s="261"/>
      <c r="Q77" s="261"/>
      <c r="R77" s="277"/>
      <c r="S77" s="261"/>
      <c r="T77" s="261"/>
      <c r="U77" s="261"/>
      <c r="V77" s="261"/>
      <c r="W77" s="261"/>
      <c r="X77" s="261"/>
      <c r="Y77" s="261"/>
      <c r="Z77" s="277"/>
      <c r="AA77" s="261"/>
      <c r="AB77" s="261"/>
      <c r="AC77" s="261"/>
      <c r="AD77" s="261"/>
      <c r="AE77" s="261"/>
      <c r="AF77" s="261"/>
      <c r="AG77" s="261"/>
      <c r="AH77" s="261"/>
      <c r="AI77" s="261"/>
      <c r="AR77" s="261"/>
      <c r="AS77" s="277"/>
      <c r="AT77" s="261"/>
      <c r="AU77" s="261"/>
      <c r="AV77" s="261"/>
      <c r="AW77" s="261"/>
      <c r="AX77" s="261"/>
      <c r="AY77" s="261"/>
      <c r="AZ77" s="261"/>
      <c r="BA77" s="261"/>
      <c r="BB77" s="277"/>
      <c r="BC77" s="261"/>
      <c r="BD77" s="261"/>
      <c r="BE77" s="261"/>
      <c r="BF77" s="261"/>
      <c r="BG77" s="261"/>
      <c r="BH77" s="261"/>
      <c r="BI77" s="261"/>
      <c r="BJ77" s="261"/>
      <c r="BK77" s="277"/>
      <c r="BL77" s="261"/>
      <c r="BM77" s="261"/>
      <c r="BN77" s="261"/>
      <c r="BO77" s="261"/>
      <c r="BP77" s="261"/>
      <c r="BQ77" s="261"/>
    </row>
    <row r="78" spans="2:72" s="98" customFormat="1" ht="22.5" customHeight="1">
      <c r="J78" s="277"/>
      <c r="K78" s="261"/>
      <c r="L78" s="261"/>
      <c r="M78" s="261"/>
      <c r="N78" s="261"/>
      <c r="O78" s="261"/>
      <c r="P78" s="261"/>
      <c r="Q78" s="261"/>
      <c r="R78" s="277"/>
      <c r="S78" s="261"/>
      <c r="T78" s="261"/>
      <c r="U78" s="261"/>
      <c r="V78" s="261"/>
      <c r="W78" s="261"/>
      <c r="X78" s="261"/>
      <c r="Y78" s="261"/>
      <c r="Z78" s="277"/>
      <c r="AA78" s="261"/>
      <c r="AB78" s="261"/>
      <c r="AC78" s="261"/>
      <c r="AD78" s="261"/>
      <c r="AE78" s="261"/>
      <c r="AF78" s="261"/>
      <c r="AG78" s="261"/>
      <c r="AH78" s="261"/>
      <c r="AI78" s="261"/>
      <c r="AR78" s="261"/>
      <c r="AS78" s="277"/>
      <c r="AT78" s="261"/>
      <c r="AU78" s="261"/>
      <c r="AV78" s="261"/>
      <c r="AW78" s="261"/>
      <c r="AX78" s="261"/>
      <c r="AY78" s="261"/>
      <c r="AZ78" s="261"/>
      <c r="BA78" s="261"/>
      <c r="BB78" s="277"/>
      <c r="BC78" s="261"/>
      <c r="BD78" s="261"/>
      <c r="BE78" s="261"/>
      <c r="BF78" s="261"/>
      <c r="BG78" s="261"/>
      <c r="BH78" s="261"/>
      <c r="BI78" s="261"/>
      <c r="BJ78" s="261"/>
      <c r="BK78" s="277"/>
      <c r="BL78" s="261"/>
      <c r="BM78" s="261"/>
      <c r="BN78" s="261"/>
      <c r="BO78" s="261"/>
      <c r="BP78" s="261"/>
      <c r="BQ78" s="261"/>
    </row>
    <row r="79" spans="2:72" s="98" customFormat="1" ht="22.5" customHeight="1">
      <c r="J79" s="277"/>
      <c r="K79" s="261"/>
      <c r="L79" s="261"/>
      <c r="M79" s="261"/>
      <c r="N79" s="261"/>
      <c r="O79" s="261"/>
      <c r="P79" s="261"/>
      <c r="Q79" s="261"/>
      <c r="R79" s="277"/>
      <c r="S79" s="261"/>
      <c r="T79" s="261"/>
      <c r="U79" s="261"/>
      <c r="V79" s="261"/>
      <c r="W79" s="261"/>
      <c r="X79" s="261"/>
      <c r="Y79" s="261"/>
      <c r="Z79" s="277"/>
      <c r="AA79" s="261"/>
      <c r="AB79" s="261"/>
      <c r="AC79" s="261"/>
      <c r="AD79" s="261"/>
      <c r="AE79" s="261"/>
      <c r="AF79" s="261"/>
      <c r="AG79" s="261"/>
      <c r="AH79" s="261"/>
      <c r="AI79" s="261"/>
      <c r="AJ79" s="261"/>
      <c r="AK79" s="277"/>
      <c r="AL79" s="261"/>
      <c r="AM79" s="261"/>
      <c r="AN79" s="261"/>
      <c r="AO79" s="261"/>
      <c r="AP79" s="261"/>
      <c r="AQ79" s="261"/>
      <c r="AR79" s="261"/>
      <c r="AS79" s="277"/>
      <c r="AT79" s="261"/>
      <c r="AU79" s="261"/>
      <c r="AV79" s="261"/>
      <c r="AW79" s="261"/>
      <c r="AX79" s="261"/>
      <c r="AY79" s="261"/>
      <c r="AZ79" s="261"/>
      <c r="BA79" s="261"/>
      <c r="BB79" s="277"/>
      <c r="BC79" s="261"/>
      <c r="BD79" s="261"/>
      <c r="BE79" s="261"/>
      <c r="BF79" s="261"/>
      <c r="BG79" s="261"/>
      <c r="BH79" s="261"/>
      <c r="BI79" s="261"/>
      <c r="BJ79" s="261"/>
      <c r="BK79" s="277"/>
      <c r="BL79" s="261"/>
      <c r="BM79" s="261"/>
      <c r="BN79" s="261"/>
      <c r="BO79" s="261"/>
      <c r="BP79" s="261"/>
      <c r="BQ79" s="261"/>
    </row>
    <row r="80" spans="2:72" s="98" customFormat="1" ht="22.5" customHeight="1">
      <c r="J80" s="277"/>
      <c r="K80" s="261"/>
      <c r="L80" s="261"/>
      <c r="M80" s="261"/>
      <c r="N80" s="261"/>
      <c r="O80" s="261"/>
      <c r="P80" s="261"/>
      <c r="Q80" s="261"/>
      <c r="R80" s="277"/>
      <c r="S80" s="261"/>
      <c r="T80" s="261"/>
      <c r="U80" s="261"/>
      <c r="V80" s="261"/>
      <c r="W80" s="261"/>
      <c r="X80" s="261"/>
      <c r="Y80" s="261"/>
      <c r="Z80" s="277"/>
      <c r="AA80" s="261"/>
      <c r="AB80" s="261"/>
      <c r="AC80" s="261"/>
      <c r="AD80" s="261"/>
      <c r="AE80" s="261"/>
      <c r="AF80" s="261"/>
      <c r="AG80" s="261"/>
      <c r="AH80" s="261"/>
      <c r="AI80" s="261"/>
      <c r="AJ80" s="261"/>
      <c r="AK80" s="277"/>
      <c r="AL80" s="261"/>
      <c r="AM80" s="261"/>
      <c r="AN80" s="261"/>
      <c r="AO80" s="261"/>
      <c r="AP80" s="261"/>
      <c r="AQ80" s="261"/>
      <c r="AR80" s="261"/>
      <c r="AS80" s="277"/>
      <c r="AT80" s="261"/>
      <c r="AU80" s="261"/>
      <c r="AV80" s="261"/>
      <c r="AW80" s="261"/>
      <c r="AX80" s="261"/>
      <c r="AY80" s="261"/>
      <c r="AZ80" s="261"/>
      <c r="BA80" s="261"/>
      <c r="BB80" s="277"/>
      <c r="BC80" s="261"/>
      <c r="BD80" s="261"/>
      <c r="BE80" s="261"/>
      <c r="BF80" s="261"/>
      <c r="BG80" s="261"/>
      <c r="BH80" s="261"/>
      <c r="BI80" s="261"/>
      <c r="BJ80" s="261"/>
      <c r="BK80" s="277"/>
      <c r="BL80" s="261"/>
      <c r="BM80" s="261"/>
      <c r="BN80" s="261"/>
      <c r="BO80" s="261"/>
      <c r="BP80" s="261"/>
      <c r="BQ80" s="261"/>
    </row>
    <row r="81" spans="10:69" s="98" customFormat="1" ht="22.5" customHeight="1">
      <c r="J81" s="277"/>
      <c r="K81" s="261"/>
      <c r="L81" s="261"/>
      <c r="M81" s="261"/>
      <c r="N81" s="261"/>
      <c r="O81" s="261"/>
      <c r="P81" s="261"/>
      <c r="Q81" s="261"/>
      <c r="R81" s="277"/>
      <c r="S81" s="261"/>
      <c r="T81" s="261"/>
      <c r="U81" s="261"/>
      <c r="V81" s="261"/>
      <c r="W81" s="261"/>
      <c r="X81" s="261"/>
      <c r="Y81" s="261"/>
      <c r="Z81" s="277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77"/>
      <c r="AL81" s="261"/>
      <c r="AM81" s="261"/>
      <c r="AN81" s="261"/>
      <c r="AO81" s="261"/>
      <c r="AP81" s="261"/>
      <c r="AQ81" s="261"/>
      <c r="AR81" s="261"/>
      <c r="AS81" s="277"/>
      <c r="AT81" s="261"/>
      <c r="AU81" s="261"/>
      <c r="AV81" s="261"/>
      <c r="AW81" s="261"/>
      <c r="AX81" s="261"/>
      <c r="AY81" s="261"/>
      <c r="AZ81" s="261"/>
      <c r="BA81" s="261"/>
      <c r="BB81" s="277"/>
      <c r="BC81" s="261"/>
      <c r="BD81" s="261"/>
      <c r="BE81" s="261"/>
      <c r="BF81" s="261"/>
      <c r="BG81" s="261"/>
      <c r="BH81" s="261"/>
      <c r="BI81" s="261"/>
      <c r="BJ81" s="261"/>
      <c r="BK81" s="277"/>
      <c r="BL81" s="261"/>
      <c r="BM81" s="261"/>
      <c r="BN81" s="261"/>
      <c r="BO81" s="261"/>
      <c r="BP81" s="261"/>
      <c r="BQ81" s="261"/>
    </row>
    <row r="82" spans="10:69" s="98" customFormat="1" ht="22.5" customHeight="1">
      <c r="J82" s="277"/>
      <c r="K82" s="261"/>
      <c r="L82" s="261"/>
      <c r="M82" s="261"/>
      <c r="N82" s="261"/>
      <c r="O82" s="261"/>
      <c r="P82" s="261"/>
      <c r="Q82" s="261"/>
      <c r="R82" s="277"/>
      <c r="S82" s="261"/>
      <c r="T82" s="261"/>
      <c r="U82" s="261"/>
      <c r="V82" s="261"/>
      <c r="W82" s="261"/>
      <c r="X82" s="261"/>
      <c r="Y82" s="261"/>
      <c r="Z82" s="277"/>
      <c r="AA82" s="261"/>
      <c r="AB82" s="261"/>
      <c r="AC82" s="261"/>
      <c r="AD82" s="261"/>
      <c r="AE82" s="261"/>
      <c r="AF82" s="261"/>
      <c r="AG82" s="261"/>
      <c r="AH82" s="261"/>
      <c r="AI82" s="261"/>
      <c r="AJ82" s="261"/>
      <c r="AK82" s="277"/>
      <c r="AL82" s="261"/>
      <c r="AM82" s="261"/>
      <c r="AN82" s="261"/>
      <c r="AO82" s="261"/>
      <c r="AP82" s="261"/>
      <c r="AQ82" s="261"/>
      <c r="AR82" s="261"/>
      <c r="AS82" s="277"/>
      <c r="AT82" s="261"/>
      <c r="AU82" s="261"/>
      <c r="AV82" s="261"/>
      <c r="AW82" s="261"/>
      <c r="AX82" s="261"/>
      <c r="AY82" s="261"/>
      <c r="AZ82" s="261"/>
      <c r="BA82" s="261"/>
      <c r="BB82" s="277"/>
      <c r="BC82" s="261"/>
      <c r="BD82" s="261"/>
      <c r="BE82" s="261"/>
      <c r="BF82" s="261"/>
      <c r="BG82" s="261"/>
      <c r="BH82" s="261"/>
      <c r="BI82" s="261"/>
      <c r="BJ82" s="261"/>
      <c r="BK82" s="277"/>
      <c r="BL82" s="261"/>
      <c r="BM82" s="261"/>
      <c r="BN82" s="261"/>
      <c r="BO82" s="261"/>
      <c r="BP82" s="261"/>
      <c r="BQ82" s="261"/>
    </row>
    <row r="83" spans="10:69" s="98" customFormat="1" ht="22.5" customHeight="1">
      <c r="J83" s="277"/>
      <c r="K83" s="261"/>
      <c r="L83" s="261"/>
      <c r="M83" s="261"/>
      <c r="N83" s="261"/>
      <c r="O83" s="261"/>
      <c r="P83" s="261"/>
      <c r="Q83" s="261"/>
      <c r="R83" s="277"/>
      <c r="S83" s="261"/>
      <c r="T83" s="261"/>
      <c r="U83" s="261"/>
      <c r="V83" s="261"/>
      <c r="W83" s="261"/>
      <c r="X83" s="261"/>
      <c r="Y83" s="261"/>
      <c r="Z83" s="277"/>
      <c r="AA83" s="261"/>
      <c r="AB83" s="261"/>
      <c r="AC83" s="261"/>
      <c r="AD83" s="261"/>
      <c r="AE83" s="261"/>
      <c r="AF83" s="261"/>
      <c r="AG83" s="261"/>
      <c r="AH83" s="261"/>
      <c r="AI83" s="261"/>
      <c r="AJ83" s="261"/>
      <c r="AK83" s="277"/>
      <c r="AL83" s="261"/>
      <c r="AM83" s="261"/>
      <c r="AN83" s="261"/>
      <c r="AO83" s="261"/>
      <c r="AP83" s="261"/>
      <c r="AQ83" s="261"/>
      <c r="AR83" s="261"/>
      <c r="AS83" s="277"/>
      <c r="AT83" s="261"/>
      <c r="AU83" s="261"/>
      <c r="AV83" s="261"/>
      <c r="AW83" s="261"/>
      <c r="AX83" s="261"/>
      <c r="AY83" s="261"/>
      <c r="AZ83" s="261"/>
      <c r="BA83" s="261"/>
      <c r="BB83" s="277"/>
      <c r="BC83" s="261"/>
      <c r="BD83" s="261"/>
      <c r="BE83" s="261"/>
      <c r="BF83" s="261"/>
      <c r="BG83" s="261"/>
      <c r="BH83" s="261"/>
      <c r="BI83" s="261"/>
      <c r="BJ83" s="261"/>
      <c r="BK83" s="277"/>
      <c r="BL83" s="261"/>
      <c r="BM83" s="261"/>
      <c r="BN83" s="261"/>
      <c r="BO83" s="261"/>
      <c r="BP83" s="261"/>
      <c r="BQ83" s="261"/>
    </row>
    <row r="84" spans="10:69" s="98" customFormat="1" ht="22.5" customHeight="1">
      <c r="J84" s="277"/>
      <c r="K84" s="261"/>
      <c r="L84" s="261"/>
      <c r="M84" s="261"/>
      <c r="N84" s="261"/>
      <c r="O84" s="261"/>
      <c r="P84" s="261"/>
      <c r="Q84" s="261"/>
      <c r="R84" s="277"/>
      <c r="S84" s="261"/>
      <c r="T84" s="261"/>
      <c r="U84" s="261"/>
      <c r="V84" s="261"/>
      <c r="W84" s="261"/>
      <c r="X84" s="261"/>
      <c r="Y84" s="261"/>
      <c r="Z84" s="277"/>
      <c r="AA84" s="261"/>
      <c r="AB84" s="261"/>
      <c r="AC84" s="261"/>
      <c r="AD84" s="261"/>
      <c r="AE84" s="261"/>
      <c r="AF84" s="261"/>
      <c r="AG84" s="261"/>
      <c r="AH84" s="261"/>
      <c r="AI84" s="261"/>
      <c r="AJ84" s="261"/>
      <c r="AK84" s="277"/>
      <c r="AL84" s="261"/>
      <c r="AM84" s="261"/>
      <c r="AN84" s="261"/>
      <c r="AO84" s="261"/>
      <c r="AP84" s="261"/>
      <c r="AQ84" s="261"/>
      <c r="AR84" s="261"/>
      <c r="AS84" s="277"/>
      <c r="AT84" s="261"/>
      <c r="AU84" s="261"/>
      <c r="AV84" s="261"/>
      <c r="AW84" s="261"/>
      <c r="AX84" s="261"/>
      <c r="AY84" s="261"/>
      <c r="AZ84" s="261"/>
      <c r="BA84" s="261"/>
      <c r="BB84" s="277"/>
      <c r="BC84" s="261"/>
      <c r="BD84" s="261"/>
      <c r="BE84" s="261"/>
      <c r="BF84" s="261"/>
      <c r="BG84" s="261"/>
      <c r="BH84" s="261"/>
      <c r="BI84" s="261"/>
      <c r="BJ84" s="261"/>
      <c r="BK84" s="277"/>
      <c r="BL84" s="261"/>
      <c r="BM84" s="261"/>
      <c r="BN84" s="261"/>
      <c r="BO84" s="261"/>
      <c r="BP84" s="261"/>
      <c r="BQ84" s="261"/>
    </row>
    <row r="85" spans="10:69" s="98" customFormat="1" ht="22.5" customHeight="1">
      <c r="J85" s="277"/>
      <c r="K85" s="261"/>
      <c r="L85" s="261"/>
      <c r="M85" s="261"/>
      <c r="N85" s="261"/>
      <c r="O85" s="261"/>
      <c r="P85" s="261"/>
      <c r="Q85" s="261"/>
      <c r="R85" s="277"/>
      <c r="S85" s="261"/>
      <c r="T85" s="261"/>
      <c r="U85" s="261"/>
      <c r="V85" s="261"/>
      <c r="W85" s="261"/>
      <c r="X85" s="261"/>
      <c r="Y85" s="261"/>
      <c r="Z85" s="277"/>
      <c r="AA85" s="261"/>
      <c r="AB85" s="261"/>
      <c r="AC85" s="261"/>
      <c r="AD85" s="261"/>
      <c r="AE85" s="261"/>
      <c r="AF85" s="261"/>
      <c r="AG85" s="261"/>
      <c r="AH85" s="261"/>
      <c r="AI85" s="261"/>
      <c r="AJ85" s="261"/>
      <c r="AK85" s="277"/>
      <c r="AL85" s="261"/>
      <c r="AM85" s="261"/>
      <c r="AN85" s="261"/>
      <c r="AO85" s="261"/>
      <c r="AP85" s="261"/>
      <c r="AQ85" s="261"/>
      <c r="AR85" s="261"/>
      <c r="AS85" s="277"/>
      <c r="AT85" s="261"/>
      <c r="AU85" s="261"/>
      <c r="AV85" s="261"/>
      <c r="AW85" s="261"/>
      <c r="AX85" s="261"/>
      <c r="AY85" s="261"/>
      <c r="AZ85" s="261"/>
      <c r="BA85" s="261"/>
      <c r="BB85" s="277"/>
      <c r="BC85" s="261"/>
      <c r="BD85" s="261"/>
      <c r="BE85" s="261"/>
      <c r="BF85" s="261"/>
      <c r="BG85" s="261"/>
      <c r="BH85" s="261"/>
      <c r="BI85" s="261"/>
      <c r="BJ85" s="261"/>
      <c r="BK85" s="277"/>
      <c r="BL85" s="261"/>
      <c r="BM85" s="261"/>
      <c r="BN85" s="261"/>
      <c r="BO85" s="261"/>
      <c r="BP85" s="261"/>
      <c r="BQ85" s="261"/>
    </row>
    <row r="86" spans="10:69" s="98" customFormat="1" ht="22.5" customHeight="1">
      <c r="J86" s="277"/>
      <c r="K86" s="261"/>
      <c r="L86" s="261"/>
      <c r="M86" s="261"/>
      <c r="N86" s="261"/>
      <c r="O86" s="261"/>
      <c r="P86" s="261"/>
      <c r="Q86" s="261"/>
      <c r="R86" s="277"/>
      <c r="S86" s="261"/>
      <c r="T86" s="261"/>
      <c r="U86" s="261"/>
      <c r="V86" s="261"/>
      <c r="W86" s="261"/>
      <c r="X86" s="261"/>
      <c r="Y86" s="261"/>
      <c r="Z86" s="277"/>
      <c r="AA86" s="261"/>
      <c r="AB86" s="261"/>
      <c r="AC86" s="261"/>
      <c r="AD86" s="261"/>
      <c r="AE86" s="261"/>
      <c r="AF86" s="261"/>
      <c r="AG86" s="261"/>
      <c r="AH86" s="261"/>
      <c r="AI86" s="261"/>
      <c r="AJ86" s="261"/>
      <c r="AK86" s="277"/>
      <c r="AL86" s="261"/>
      <c r="AM86" s="261"/>
      <c r="AN86" s="261"/>
      <c r="AO86" s="261"/>
      <c r="AP86" s="261"/>
      <c r="AQ86" s="261"/>
      <c r="AR86" s="261"/>
      <c r="AS86" s="277"/>
      <c r="AT86" s="261"/>
      <c r="AU86" s="261"/>
      <c r="AV86" s="261"/>
      <c r="AW86" s="261"/>
      <c r="AX86" s="261"/>
      <c r="AY86" s="261"/>
      <c r="AZ86" s="261"/>
      <c r="BA86" s="261"/>
      <c r="BB86" s="277"/>
      <c r="BC86" s="261"/>
      <c r="BD86" s="261"/>
      <c r="BE86" s="261"/>
      <c r="BF86" s="261"/>
      <c r="BG86" s="261"/>
      <c r="BH86" s="261"/>
      <c r="BI86" s="261"/>
      <c r="BJ86" s="261"/>
      <c r="BK86" s="277"/>
      <c r="BL86" s="261"/>
      <c r="BM86" s="261"/>
      <c r="BN86" s="261"/>
      <c r="BO86" s="261"/>
      <c r="BP86" s="261"/>
      <c r="BQ86" s="261"/>
    </row>
    <row r="87" spans="10:69" s="98" customFormat="1" ht="22.5" customHeight="1">
      <c r="J87" s="277"/>
      <c r="K87" s="261"/>
      <c r="L87" s="261"/>
      <c r="M87" s="261"/>
      <c r="N87" s="261"/>
      <c r="O87" s="261"/>
      <c r="P87" s="261"/>
      <c r="Q87" s="261"/>
      <c r="R87" s="277"/>
      <c r="S87" s="261"/>
      <c r="T87" s="261"/>
      <c r="U87" s="261"/>
      <c r="V87" s="261"/>
      <c r="W87" s="261"/>
      <c r="X87" s="261"/>
      <c r="Y87" s="261"/>
      <c r="Z87" s="277"/>
      <c r="AA87" s="261"/>
      <c r="AB87" s="261"/>
      <c r="AC87" s="261"/>
      <c r="AD87" s="261"/>
      <c r="AE87" s="261"/>
      <c r="AF87" s="261"/>
      <c r="AG87" s="261"/>
      <c r="AH87" s="261"/>
      <c r="AI87" s="261"/>
      <c r="AJ87" s="261"/>
      <c r="AK87" s="277"/>
      <c r="AL87" s="261"/>
      <c r="AM87" s="261"/>
      <c r="AN87" s="261"/>
      <c r="AO87" s="261"/>
      <c r="AP87" s="261"/>
      <c r="AQ87" s="261"/>
      <c r="AR87" s="261"/>
      <c r="AS87" s="277"/>
      <c r="AT87" s="261"/>
      <c r="AU87" s="261"/>
      <c r="AV87" s="261"/>
      <c r="AW87" s="261"/>
      <c r="AX87" s="261"/>
      <c r="AY87" s="261"/>
      <c r="AZ87" s="261"/>
      <c r="BA87" s="261"/>
      <c r="BB87" s="277"/>
      <c r="BC87" s="261"/>
      <c r="BD87" s="261"/>
      <c r="BE87" s="261"/>
      <c r="BF87" s="261"/>
      <c r="BG87" s="261"/>
      <c r="BH87" s="261"/>
      <c r="BI87" s="261"/>
      <c r="BJ87" s="261"/>
      <c r="BK87" s="277"/>
      <c r="BL87" s="261"/>
      <c r="BM87" s="261"/>
      <c r="BN87" s="261"/>
      <c r="BO87" s="261"/>
      <c r="BP87" s="261"/>
      <c r="BQ87" s="261"/>
    </row>
    <row r="88" spans="10:69" s="98" customFormat="1" ht="22.5" customHeight="1">
      <c r="J88" s="277"/>
      <c r="K88" s="261"/>
      <c r="L88" s="261"/>
      <c r="M88" s="261"/>
      <c r="N88" s="261"/>
      <c r="O88" s="261"/>
      <c r="P88" s="261"/>
      <c r="Q88" s="261"/>
      <c r="R88" s="277"/>
      <c r="S88" s="261"/>
      <c r="T88" s="261"/>
      <c r="U88" s="261"/>
      <c r="V88" s="261"/>
      <c r="W88" s="261"/>
      <c r="X88" s="261"/>
      <c r="Y88" s="261"/>
      <c r="Z88" s="277"/>
      <c r="AA88" s="261"/>
      <c r="AB88" s="261"/>
      <c r="AC88" s="261"/>
      <c r="AD88" s="261"/>
      <c r="AE88" s="261"/>
      <c r="AF88" s="261"/>
      <c r="AG88" s="261"/>
      <c r="AH88" s="261"/>
      <c r="AI88" s="261"/>
      <c r="AJ88" s="261"/>
      <c r="AK88" s="277"/>
      <c r="AL88" s="261"/>
      <c r="AM88" s="261"/>
      <c r="AN88" s="261"/>
      <c r="AO88" s="261"/>
      <c r="AP88" s="261"/>
      <c r="AQ88" s="261"/>
      <c r="AR88" s="261"/>
      <c r="AS88" s="277"/>
      <c r="AT88" s="261"/>
      <c r="AU88" s="261"/>
      <c r="AV88" s="261"/>
      <c r="AW88" s="261"/>
      <c r="AX88" s="261"/>
      <c r="AY88" s="261"/>
      <c r="AZ88" s="261"/>
      <c r="BA88" s="261"/>
      <c r="BB88" s="277"/>
      <c r="BC88" s="261"/>
      <c r="BD88" s="261"/>
      <c r="BE88" s="261"/>
      <c r="BF88" s="261"/>
      <c r="BG88" s="261"/>
      <c r="BH88" s="261"/>
      <c r="BI88" s="261"/>
      <c r="BJ88" s="261"/>
      <c r="BK88" s="277"/>
      <c r="BL88" s="261"/>
      <c r="BM88" s="261"/>
      <c r="BN88" s="261"/>
      <c r="BO88" s="261"/>
      <c r="BP88" s="261"/>
      <c r="BQ88" s="261"/>
    </row>
    <row r="89" spans="10:69" s="98" customFormat="1" ht="22.5" customHeight="1">
      <c r="J89" s="277"/>
      <c r="K89" s="261"/>
      <c r="L89" s="261"/>
      <c r="M89" s="261"/>
      <c r="N89" s="261"/>
      <c r="O89" s="261"/>
      <c r="P89" s="261"/>
      <c r="Q89" s="261"/>
      <c r="R89" s="277"/>
      <c r="S89" s="261"/>
      <c r="T89" s="261"/>
      <c r="U89" s="261"/>
      <c r="V89" s="261"/>
      <c r="W89" s="261"/>
      <c r="X89" s="261"/>
      <c r="Y89" s="261"/>
      <c r="Z89" s="277"/>
      <c r="AA89" s="261"/>
      <c r="AB89" s="261"/>
      <c r="AC89" s="261"/>
      <c r="AD89" s="261"/>
      <c r="AE89" s="261"/>
      <c r="AF89" s="261"/>
      <c r="AG89" s="261"/>
      <c r="AH89" s="261"/>
      <c r="AI89" s="261"/>
      <c r="AJ89" s="261"/>
      <c r="AK89" s="277"/>
      <c r="AL89" s="261"/>
      <c r="AM89" s="261"/>
      <c r="AN89" s="261"/>
      <c r="AO89" s="261"/>
      <c r="AP89" s="261"/>
      <c r="AQ89" s="261"/>
      <c r="AR89" s="261"/>
      <c r="AS89" s="277"/>
      <c r="AT89" s="261"/>
      <c r="AU89" s="261"/>
      <c r="AV89" s="261"/>
      <c r="AW89" s="261"/>
      <c r="AX89" s="261"/>
      <c r="AY89" s="261"/>
      <c r="AZ89" s="261"/>
      <c r="BA89" s="261"/>
      <c r="BB89" s="277"/>
      <c r="BC89" s="261"/>
      <c r="BD89" s="261"/>
      <c r="BE89" s="261"/>
      <c r="BF89" s="261"/>
      <c r="BG89" s="261"/>
      <c r="BH89" s="261"/>
      <c r="BI89" s="261"/>
      <c r="BJ89" s="261"/>
      <c r="BK89" s="277"/>
      <c r="BL89" s="261"/>
      <c r="BM89" s="261"/>
      <c r="BN89" s="261"/>
      <c r="BO89" s="261"/>
      <c r="BP89" s="261"/>
      <c r="BQ89" s="261"/>
    </row>
    <row r="90" spans="10:69" s="98" customFormat="1" ht="22.5" customHeight="1">
      <c r="J90" s="277"/>
      <c r="K90" s="261"/>
      <c r="L90" s="261"/>
      <c r="M90" s="261"/>
      <c r="N90" s="261"/>
      <c r="O90" s="261"/>
      <c r="P90" s="261"/>
      <c r="Q90" s="261"/>
      <c r="R90" s="277"/>
      <c r="S90" s="261"/>
      <c r="T90" s="261"/>
      <c r="U90" s="261"/>
      <c r="V90" s="261"/>
      <c r="W90" s="261"/>
      <c r="X90" s="261"/>
      <c r="Y90" s="261"/>
      <c r="Z90" s="277"/>
      <c r="AA90" s="261"/>
      <c r="AB90" s="261"/>
      <c r="AC90" s="261"/>
      <c r="AD90" s="261"/>
      <c r="AE90" s="261"/>
      <c r="AF90" s="261"/>
      <c r="AG90" s="261"/>
      <c r="AH90" s="261"/>
      <c r="AI90" s="261"/>
      <c r="AJ90" s="261"/>
      <c r="AK90" s="277"/>
      <c r="AL90" s="261"/>
      <c r="AM90" s="261"/>
      <c r="AN90" s="261"/>
      <c r="AO90" s="261"/>
      <c r="AP90" s="261"/>
      <c r="AQ90" s="261"/>
      <c r="AR90" s="261"/>
      <c r="AS90" s="277"/>
      <c r="AT90" s="261"/>
      <c r="AU90" s="261"/>
      <c r="AV90" s="261"/>
      <c r="AW90" s="261"/>
      <c r="AX90" s="261"/>
      <c r="AY90" s="261"/>
      <c r="AZ90" s="261"/>
      <c r="BA90" s="261"/>
      <c r="BB90" s="277"/>
      <c r="BC90" s="261"/>
      <c r="BD90" s="261"/>
      <c r="BE90" s="261"/>
      <c r="BF90" s="261"/>
      <c r="BG90" s="261"/>
      <c r="BH90" s="261"/>
      <c r="BI90" s="261"/>
      <c r="BJ90" s="261"/>
      <c r="BK90" s="277"/>
      <c r="BL90" s="261"/>
      <c r="BM90" s="261"/>
      <c r="BN90" s="261"/>
      <c r="BO90" s="261"/>
      <c r="BP90" s="261"/>
      <c r="BQ90" s="261"/>
    </row>
    <row r="91" spans="10:69" s="98" customFormat="1" ht="22.5" customHeight="1">
      <c r="J91" s="277"/>
      <c r="K91" s="261"/>
      <c r="L91" s="261"/>
      <c r="M91" s="261"/>
      <c r="N91" s="261"/>
      <c r="O91" s="261"/>
      <c r="P91" s="261"/>
      <c r="Q91" s="261"/>
      <c r="R91" s="277"/>
      <c r="S91" s="261"/>
      <c r="T91" s="261"/>
      <c r="U91" s="261"/>
      <c r="V91" s="261"/>
      <c r="W91" s="261"/>
      <c r="X91" s="261"/>
      <c r="Y91" s="261"/>
      <c r="Z91" s="277"/>
      <c r="AA91" s="261"/>
      <c r="AB91" s="261"/>
      <c r="AC91" s="261"/>
      <c r="AD91" s="261"/>
      <c r="AE91" s="261"/>
      <c r="AF91" s="261"/>
      <c r="AG91" s="261"/>
      <c r="AH91" s="261"/>
      <c r="AI91" s="261"/>
      <c r="AJ91" s="261"/>
      <c r="AK91" s="277"/>
      <c r="AL91" s="261"/>
      <c r="AM91" s="261"/>
      <c r="AN91" s="261"/>
      <c r="AO91" s="261"/>
      <c r="AP91" s="261"/>
      <c r="AQ91" s="261"/>
      <c r="AR91" s="261"/>
      <c r="AS91" s="277"/>
      <c r="AT91" s="261"/>
      <c r="AU91" s="261"/>
      <c r="AV91" s="261"/>
      <c r="AW91" s="261"/>
      <c r="AX91" s="261"/>
      <c r="AY91" s="261"/>
      <c r="AZ91" s="261"/>
      <c r="BA91" s="261"/>
      <c r="BB91" s="277"/>
      <c r="BC91" s="261"/>
      <c r="BD91" s="261"/>
      <c r="BE91" s="261"/>
      <c r="BF91" s="261"/>
      <c r="BG91" s="261"/>
      <c r="BH91" s="261"/>
      <c r="BI91" s="261"/>
      <c r="BJ91" s="261"/>
      <c r="BK91" s="277"/>
      <c r="BL91" s="261"/>
      <c r="BM91" s="261"/>
      <c r="BN91" s="261"/>
      <c r="BO91" s="261"/>
      <c r="BP91" s="261"/>
      <c r="BQ91" s="261"/>
    </row>
    <row r="92" spans="10:69" s="98" customFormat="1" ht="22.5" customHeight="1">
      <c r="J92" s="277"/>
      <c r="K92" s="261"/>
      <c r="L92" s="261"/>
      <c r="M92" s="261"/>
      <c r="N92" s="261"/>
      <c r="O92" s="261"/>
      <c r="P92" s="261"/>
      <c r="Q92" s="261"/>
      <c r="R92" s="277"/>
      <c r="S92" s="261"/>
      <c r="T92" s="261"/>
      <c r="U92" s="261"/>
      <c r="V92" s="261"/>
      <c r="W92" s="261"/>
      <c r="X92" s="261"/>
      <c r="Y92" s="261"/>
      <c r="Z92" s="277"/>
      <c r="AA92" s="261"/>
      <c r="AB92" s="261"/>
      <c r="AC92" s="261"/>
      <c r="AD92" s="261"/>
      <c r="AE92" s="261"/>
      <c r="AF92" s="261"/>
      <c r="AG92" s="261"/>
      <c r="AH92" s="261"/>
      <c r="AI92" s="261"/>
      <c r="AJ92" s="261"/>
      <c r="AK92" s="277"/>
      <c r="AL92" s="261"/>
      <c r="AM92" s="261"/>
      <c r="AN92" s="261"/>
      <c r="AO92" s="261"/>
      <c r="AP92" s="261"/>
      <c r="AQ92" s="261"/>
      <c r="AR92" s="261"/>
      <c r="AS92" s="277"/>
      <c r="AT92" s="261"/>
      <c r="AU92" s="261"/>
      <c r="AV92" s="261"/>
      <c r="AW92" s="261"/>
      <c r="AX92" s="261"/>
      <c r="AY92" s="261"/>
      <c r="AZ92" s="261"/>
      <c r="BA92" s="261"/>
      <c r="BB92" s="277"/>
      <c r="BC92" s="261"/>
      <c r="BD92" s="261"/>
      <c r="BE92" s="261"/>
      <c r="BF92" s="261"/>
      <c r="BG92" s="278"/>
      <c r="BH92" s="278"/>
      <c r="BI92" s="261"/>
      <c r="BJ92" s="261"/>
      <c r="BK92" s="277"/>
      <c r="BL92" s="261"/>
      <c r="BM92" s="261"/>
      <c r="BN92" s="261"/>
      <c r="BO92" s="261"/>
      <c r="BP92" s="261"/>
      <c r="BQ92" s="261"/>
    </row>
    <row r="93" spans="10:69" s="98" customFormat="1" ht="22.5" customHeight="1">
      <c r="J93" s="277"/>
      <c r="K93" s="261"/>
      <c r="L93" s="261"/>
      <c r="M93" s="261"/>
      <c r="N93" s="261"/>
      <c r="O93" s="261"/>
      <c r="P93" s="261"/>
      <c r="Q93" s="261"/>
      <c r="R93" s="277"/>
      <c r="S93" s="261"/>
      <c r="T93" s="261"/>
      <c r="U93" s="261"/>
      <c r="V93" s="261"/>
      <c r="W93" s="261"/>
      <c r="X93" s="261"/>
      <c r="Y93" s="261"/>
      <c r="Z93" s="277"/>
      <c r="AA93" s="261"/>
      <c r="AB93" s="261"/>
      <c r="AC93" s="261"/>
      <c r="AD93" s="261"/>
      <c r="AE93" s="261"/>
      <c r="AF93" s="261"/>
      <c r="AG93" s="261"/>
      <c r="AH93" s="261"/>
      <c r="AI93" s="261"/>
      <c r="AJ93" s="261"/>
      <c r="AK93" s="277"/>
      <c r="AL93" s="261"/>
      <c r="AM93" s="261"/>
      <c r="AN93" s="261"/>
      <c r="AO93" s="261"/>
      <c r="AP93" s="261"/>
      <c r="AQ93" s="261"/>
      <c r="AR93" s="261"/>
      <c r="AS93" s="277"/>
      <c r="AT93" s="261"/>
      <c r="AU93" s="261"/>
      <c r="AV93" s="261"/>
      <c r="AW93" s="261"/>
      <c r="AX93" s="261"/>
      <c r="AY93" s="261"/>
      <c r="AZ93" s="261"/>
      <c r="BA93" s="261"/>
      <c r="BB93" s="277"/>
      <c r="BC93" s="170"/>
      <c r="BD93" s="170"/>
      <c r="BE93" s="170"/>
      <c r="BF93" s="170"/>
      <c r="BG93" s="170"/>
      <c r="BH93" s="170"/>
      <c r="BI93" s="170"/>
      <c r="BJ93" s="261"/>
      <c r="BK93" s="277"/>
      <c r="BL93" s="261"/>
      <c r="BM93" s="261"/>
      <c r="BN93" s="261"/>
      <c r="BO93" s="261"/>
      <c r="BP93" s="261"/>
      <c r="BQ93" s="261"/>
    </row>
    <row r="94" spans="10:69" s="98" customFormat="1" ht="22.5" customHeight="1">
      <c r="J94" s="277"/>
      <c r="K94" s="261"/>
      <c r="L94" s="261"/>
      <c r="M94" s="261"/>
      <c r="N94" s="261"/>
      <c r="O94" s="261"/>
      <c r="P94" s="261"/>
      <c r="Q94" s="261"/>
      <c r="R94" s="277"/>
      <c r="S94" s="261"/>
      <c r="T94" s="261"/>
      <c r="U94" s="261"/>
      <c r="V94" s="261"/>
      <c r="W94" s="261"/>
      <c r="X94" s="261"/>
      <c r="Y94" s="261"/>
      <c r="Z94" s="277"/>
      <c r="AA94" s="261"/>
      <c r="AB94" s="261"/>
      <c r="AC94" s="261"/>
      <c r="AD94" s="261"/>
      <c r="AE94" s="261"/>
      <c r="AF94" s="261"/>
      <c r="AG94" s="261"/>
      <c r="AH94" s="261"/>
      <c r="AI94" s="261"/>
      <c r="AJ94" s="261"/>
      <c r="AK94" s="277"/>
      <c r="AL94" s="261"/>
      <c r="AM94" s="261"/>
      <c r="AN94" s="261"/>
      <c r="AO94" s="261"/>
      <c r="AP94" s="261"/>
      <c r="AQ94" s="261"/>
      <c r="AR94" s="261"/>
      <c r="AS94" s="277"/>
      <c r="AT94" s="261"/>
      <c r="AU94" s="261"/>
      <c r="AV94" s="261"/>
      <c r="AW94" s="261"/>
      <c r="AX94" s="261"/>
      <c r="AY94" s="261"/>
      <c r="AZ94" s="261"/>
      <c r="BA94" s="261"/>
      <c r="BB94" s="277"/>
      <c r="BC94" s="279"/>
      <c r="BD94" s="279"/>
      <c r="BE94" s="279"/>
      <c r="BF94" s="279"/>
      <c r="BG94" s="279"/>
      <c r="BH94" s="279"/>
      <c r="BI94" s="279"/>
      <c r="BJ94" s="261"/>
      <c r="BK94" s="277"/>
      <c r="BL94" s="261"/>
      <c r="BM94" s="261"/>
      <c r="BN94" s="261"/>
      <c r="BO94" s="261"/>
      <c r="BP94" s="261"/>
      <c r="BQ94" s="261"/>
    </row>
    <row r="95" spans="10:69" s="98" customFormat="1" ht="22.5" customHeight="1">
      <c r="J95" s="277"/>
      <c r="K95" s="261"/>
      <c r="L95" s="261"/>
      <c r="M95" s="261"/>
      <c r="N95" s="261"/>
      <c r="O95" s="261"/>
      <c r="P95" s="261"/>
      <c r="Q95" s="261"/>
      <c r="R95" s="277"/>
      <c r="S95" s="261"/>
      <c r="T95" s="261"/>
      <c r="U95" s="261"/>
      <c r="V95" s="261"/>
      <c r="W95" s="261"/>
      <c r="X95" s="261"/>
      <c r="Y95" s="261"/>
      <c r="Z95" s="277"/>
      <c r="AA95" s="261"/>
      <c r="AB95" s="261"/>
      <c r="AC95" s="261"/>
      <c r="AD95" s="261"/>
      <c r="AE95" s="261"/>
      <c r="AF95" s="261"/>
      <c r="AG95" s="261"/>
      <c r="AH95" s="261"/>
      <c r="AI95" s="261"/>
      <c r="AJ95" s="261"/>
      <c r="AK95" s="277"/>
      <c r="AL95" s="261"/>
      <c r="AM95" s="261"/>
      <c r="AN95" s="261"/>
      <c r="AO95" s="261"/>
      <c r="AP95" s="261"/>
      <c r="AQ95" s="261"/>
      <c r="AR95" s="261"/>
      <c r="AS95" s="277"/>
      <c r="AT95" s="261"/>
      <c r="AU95" s="261"/>
      <c r="AV95" s="261"/>
      <c r="AW95" s="261"/>
      <c r="AX95" s="261"/>
      <c r="AY95" s="261"/>
      <c r="AZ95" s="261"/>
      <c r="BA95" s="261"/>
      <c r="BB95" s="277"/>
      <c r="BC95" s="279"/>
      <c r="BD95" s="279"/>
      <c r="BE95" s="279"/>
      <c r="BF95" s="279"/>
      <c r="BG95" s="279"/>
      <c r="BH95" s="279"/>
      <c r="BI95" s="279"/>
      <c r="BJ95" s="261"/>
      <c r="BK95" s="277"/>
      <c r="BL95" s="261"/>
      <c r="BM95" s="261"/>
      <c r="BN95" s="261"/>
      <c r="BO95" s="261"/>
      <c r="BP95" s="261"/>
      <c r="BQ95" s="261"/>
    </row>
    <row r="96" spans="10:69" s="98" customFormat="1" ht="22.5" customHeight="1">
      <c r="J96" s="277"/>
      <c r="K96" s="261"/>
      <c r="L96" s="261"/>
      <c r="M96" s="261"/>
      <c r="N96" s="261"/>
      <c r="O96" s="261"/>
      <c r="P96" s="261"/>
      <c r="Q96" s="261"/>
      <c r="R96" s="277"/>
      <c r="S96" s="261"/>
      <c r="T96" s="261"/>
      <c r="U96" s="261"/>
      <c r="V96" s="261"/>
      <c r="W96" s="261"/>
      <c r="X96" s="261"/>
      <c r="Y96" s="261"/>
      <c r="Z96" s="277"/>
      <c r="AA96" s="261"/>
      <c r="AB96" s="261"/>
      <c r="AC96" s="261"/>
      <c r="AD96" s="261"/>
      <c r="AE96" s="261"/>
      <c r="AF96" s="261"/>
      <c r="AG96" s="261"/>
      <c r="AH96" s="261"/>
      <c r="AI96" s="261"/>
      <c r="AJ96" s="261"/>
      <c r="AK96" s="277"/>
      <c r="AL96" s="261"/>
      <c r="AM96" s="261"/>
      <c r="AN96" s="261"/>
      <c r="AO96" s="261"/>
      <c r="AP96" s="261"/>
      <c r="AQ96" s="261"/>
      <c r="AR96" s="261"/>
      <c r="AS96" s="277"/>
      <c r="AT96" s="261"/>
      <c r="AU96" s="261"/>
      <c r="AV96" s="261"/>
      <c r="AW96" s="261"/>
      <c r="AX96" s="261"/>
      <c r="AY96" s="261"/>
      <c r="AZ96" s="261"/>
      <c r="BA96" s="261"/>
      <c r="BB96" s="277"/>
      <c r="BC96" s="276"/>
      <c r="BD96" s="276"/>
      <c r="BE96" s="276"/>
      <c r="BF96" s="276"/>
      <c r="BG96" s="276"/>
      <c r="BH96" s="276"/>
      <c r="BI96" s="276"/>
      <c r="BJ96" s="261"/>
      <c r="BK96" s="277"/>
      <c r="BL96" s="261"/>
      <c r="BM96" s="261"/>
      <c r="BN96" s="261"/>
      <c r="BO96" s="261"/>
      <c r="BP96" s="261"/>
      <c r="BQ96" s="261"/>
    </row>
    <row r="97" spans="2:72" s="98" customFormat="1" ht="22.5" customHeight="1">
      <c r="J97" s="277"/>
      <c r="K97" s="261"/>
      <c r="L97" s="261"/>
      <c r="M97" s="261"/>
      <c r="N97" s="261"/>
      <c r="O97" s="261"/>
      <c r="P97" s="261"/>
      <c r="Q97" s="261"/>
      <c r="R97" s="277"/>
      <c r="S97" s="261"/>
      <c r="T97" s="261"/>
      <c r="U97" s="261"/>
      <c r="V97" s="261"/>
      <c r="W97" s="261"/>
      <c r="X97" s="261"/>
      <c r="Y97" s="261"/>
      <c r="Z97" s="277"/>
      <c r="AA97" s="261"/>
      <c r="AB97" s="261"/>
      <c r="AC97" s="261"/>
      <c r="AD97" s="261"/>
      <c r="AE97" s="261"/>
      <c r="AF97" s="261"/>
      <c r="AG97" s="261"/>
      <c r="AH97" s="261"/>
      <c r="AI97" s="261"/>
      <c r="AJ97" s="261"/>
      <c r="AK97" s="277"/>
      <c r="AL97" s="261"/>
      <c r="AM97" s="261"/>
      <c r="AN97" s="261"/>
      <c r="AO97" s="261"/>
      <c r="AP97" s="261"/>
      <c r="AQ97" s="261"/>
      <c r="AR97" s="261"/>
      <c r="AS97" s="277"/>
      <c r="AT97" s="261"/>
      <c r="AU97" s="261"/>
      <c r="AV97" s="261"/>
      <c r="AW97" s="261"/>
      <c r="AX97" s="261"/>
      <c r="AY97" s="261"/>
      <c r="AZ97" s="261"/>
      <c r="BA97" s="261"/>
      <c r="BB97" s="277"/>
      <c r="BC97" s="276"/>
      <c r="BD97" s="276"/>
      <c r="BE97" s="276"/>
      <c r="BF97" s="276"/>
      <c r="BG97" s="276"/>
      <c r="BH97" s="276"/>
      <c r="BI97" s="276"/>
      <c r="BJ97" s="261"/>
      <c r="BK97" s="277"/>
      <c r="BL97" s="261"/>
      <c r="BM97" s="261"/>
      <c r="BN97" s="261"/>
      <c r="BO97" s="261"/>
      <c r="BP97" s="261"/>
      <c r="BQ97" s="261"/>
    </row>
    <row r="98" spans="2:72" s="98" customFormat="1" ht="22.5" customHeight="1">
      <c r="J98" s="277"/>
      <c r="K98" s="261"/>
      <c r="L98" s="261"/>
      <c r="M98" s="261"/>
      <c r="N98" s="261"/>
      <c r="O98" s="261"/>
      <c r="P98" s="261"/>
      <c r="Q98" s="261"/>
      <c r="R98" s="277"/>
      <c r="S98" s="261"/>
      <c r="T98" s="261"/>
      <c r="U98" s="261"/>
      <c r="V98" s="261"/>
      <c r="W98" s="261"/>
      <c r="X98" s="261"/>
      <c r="Y98" s="261"/>
      <c r="Z98" s="277"/>
      <c r="AA98" s="261"/>
      <c r="AB98" s="261"/>
      <c r="AC98" s="261"/>
      <c r="AD98" s="261"/>
      <c r="AE98" s="261"/>
      <c r="AF98" s="261"/>
      <c r="AG98" s="261"/>
      <c r="AH98" s="261"/>
      <c r="AI98" s="261"/>
      <c r="AJ98" s="261"/>
      <c r="AK98" s="277"/>
      <c r="AL98" s="261"/>
      <c r="AM98" s="261"/>
      <c r="AN98" s="261"/>
      <c r="AO98" s="261"/>
      <c r="AP98" s="261"/>
      <c r="AQ98" s="261"/>
      <c r="AR98" s="261"/>
      <c r="AS98" s="277"/>
      <c r="AT98" s="261"/>
      <c r="AU98" s="261"/>
      <c r="AV98" s="261"/>
      <c r="AW98" s="261"/>
      <c r="AX98" s="261"/>
      <c r="AY98" s="261"/>
      <c r="AZ98" s="261"/>
      <c r="BA98" s="261"/>
      <c r="BB98" s="277"/>
      <c r="BC98" s="276"/>
      <c r="BD98" s="276"/>
      <c r="BE98" s="276"/>
      <c r="BF98" s="276"/>
      <c r="BG98" s="276"/>
      <c r="BH98" s="276"/>
      <c r="BI98" s="276"/>
      <c r="BJ98" s="170"/>
      <c r="BK98" s="277"/>
      <c r="BL98" s="261"/>
      <c r="BM98" s="261"/>
      <c r="BN98" s="261"/>
      <c r="BO98" s="261"/>
      <c r="BP98" s="261"/>
      <c r="BQ98" s="261"/>
    </row>
    <row r="99" spans="2:72" s="98" customFormat="1" ht="22.5" customHeight="1">
      <c r="J99" s="277"/>
      <c r="K99" s="261"/>
      <c r="L99" s="261"/>
      <c r="M99" s="261"/>
      <c r="N99" s="261"/>
      <c r="O99" s="261"/>
      <c r="P99" s="261"/>
      <c r="Q99" s="261"/>
      <c r="R99" s="277"/>
      <c r="S99" s="261"/>
      <c r="T99" s="261"/>
      <c r="U99" s="261"/>
      <c r="V99" s="261"/>
      <c r="W99" s="261"/>
      <c r="X99" s="261"/>
      <c r="Y99" s="261"/>
      <c r="Z99" s="277"/>
      <c r="AA99" s="261"/>
      <c r="AB99" s="261"/>
      <c r="AC99" s="261"/>
      <c r="AD99" s="261"/>
      <c r="AE99" s="261"/>
      <c r="AF99" s="261"/>
      <c r="AG99" s="261"/>
      <c r="AH99" s="261"/>
      <c r="AI99" s="261"/>
      <c r="AJ99" s="261"/>
      <c r="AK99" s="277"/>
      <c r="AL99" s="261"/>
      <c r="AM99" s="261"/>
      <c r="AN99" s="261"/>
      <c r="AO99" s="261"/>
      <c r="AP99" s="261"/>
      <c r="AQ99" s="261"/>
      <c r="AR99" s="261"/>
      <c r="AS99" s="277"/>
      <c r="AT99" s="261"/>
      <c r="AU99" s="261"/>
      <c r="AV99" s="261"/>
      <c r="AW99" s="261"/>
      <c r="AX99" s="261"/>
      <c r="AY99" s="261"/>
      <c r="AZ99" s="261"/>
      <c r="BA99" s="170"/>
      <c r="BB99" s="275"/>
      <c r="BC99" s="276"/>
      <c r="BD99" s="276"/>
      <c r="BE99" s="276"/>
      <c r="BF99" s="276"/>
      <c r="BG99" s="276"/>
      <c r="BH99" s="276"/>
      <c r="BI99" s="276"/>
      <c r="BJ99" s="279"/>
      <c r="BK99" s="280"/>
      <c r="BL99" s="261"/>
      <c r="BM99" s="261"/>
      <c r="BN99" s="261"/>
      <c r="BO99" s="261"/>
      <c r="BP99" s="261"/>
      <c r="BQ99" s="261"/>
    </row>
    <row r="100" spans="2:72" s="98" customFormat="1" ht="22.5" customHeight="1">
      <c r="J100" s="277"/>
      <c r="K100" s="261"/>
      <c r="L100" s="261"/>
      <c r="M100" s="261"/>
      <c r="N100" s="261"/>
      <c r="O100" s="261"/>
      <c r="P100" s="261"/>
      <c r="Q100" s="261"/>
      <c r="R100" s="277"/>
      <c r="S100" s="261"/>
      <c r="T100" s="261"/>
      <c r="U100" s="261"/>
      <c r="V100" s="261"/>
      <c r="W100" s="261"/>
      <c r="X100" s="261"/>
      <c r="Y100" s="261"/>
      <c r="Z100" s="277"/>
      <c r="AA100" s="261"/>
      <c r="AB100" s="261"/>
      <c r="AC100" s="261"/>
      <c r="AD100" s="261"/>
      <c r="AE100" s="261"/>
      <c r="AF100" s="261"/>
      <c r="AG100" s="261"/>
      <c r="AH100" s="261"/>
      <c r="AI100" s="261"/>
      <c r="AJ100" s="261"/>
      <c r="AK100" s="277"/>
      <c r="AL100" s="261"/>
      <c r="AM100" s="261"/>
      <c r="AN100" s="261"/>
      <c r="AO100" s="261"/>
      <c r="AP100" s="261"/>
      <c r="AQ100" s="261"/>
      <c r="AR100" s="261"/>
      <c r="AS100" s="277"/>
      <c r="AT100" s="261"/>
      <c r="AU100" s="261"/>
      <c r="AV100" s="261"/>
      <c r="AW100" s="261"/>
      <c r="AX100" s="261"/>
      <c r="AY100" s="261"/>
      <c r="AZ100" s="261"/>
      <c r="BA100" s="279"/>
      <c r="BB100" s="277"/>
      <c r="BC100" s="276"/>
      <c r="BD100" s="276"/>
      <c r="BE100" s="276"/>
      <c r="BF100" s="276"/>
      <c r="BG100" s="276"/>
      <c r="BH100" s="276"/>
      <c r="BI100" s="276"/>
      <c r="BJ100" s="279"/>
      <c r="BK100" s="280"/>
      <c r="BL100" s="261"/>
      <c r="BM100" s="261"/>
      <c r="BN100" s="261"/>
      <c r="BO100" s="261"/>
      <c r="BP100" s="261"/>
      <c r="BQ100" s="261"/>
      <c r="BR100" s="8"/>
      <c r="BS100" s="8"/>
      <c r="BT100" s="8"/>
    </row>
    <row r="101" spans="2:72" s="98" customFormat="1" ht="22.5" customHeight="1">
      <c r="E101" s="8"/>
      <c r="F101" s="8"/>
      <c r="G101" s="8"/>
      <c r="H101" s="39"/>
      <c r="I101" s="8"/>
      <c r="J101" s="277"/>
      <c r="K101" s="261"/>
      <c r="L101" s="261"/>
      <c r="M101" s="261"/>
      <c r="N101" s="261"/>
      <c r="O101" s="261"/>
      <c r="P101" s="261"/>
      <c r="Q101" s="261"/>
      <c r="R101" s="277"/>
      <c r="S101" s="261"/>
      <c r="T101" s="261"/>
      <c r="U101" s="261"/>
      <c r="V101" s="261"/>
      <c r="W101" s="261"/>
      <c r="X101" s="261"/>
      <c r="Y101" s="261"/>
      <c r="Z101" s="277"/>
      <c r="AA101" s="261"/>
      <c r="AB101" s="261"/>
      <c r="AC101" s="261"/>
      <c r="AD101" s="261"/>
      <c r="AE101" s="261"/>
      <c r="AF101" s="261"/>
      <c r="AG101" s="261"/>
      <c r="AH101" s="261"/>
      <c r="AI101" s="261"/>
      <c r="AJ101" s="261"/>
      <c r="AK101" s="277"/>
      <c r="AL101" s="261"/>
      <c r="AM101" s="261"/>
      <c r="AN101" s="261"/>
      <c r="AO101" s="261"/>
      <c r="AP101" s="261"/>
      <c r="AQ101" s="261"/>
      <c r="AR101" s="261"/>
      <c r="AS101" s="277"/>
      <c r="AT101" s="170"/>
      <c r="AU101" s="170"/>
      <c r="AV101" s="170"/>
      <c r="AW101" s="170"/>
      <c r="AX101" s="170"/>
      <c r="AY101" s="170"/>
      <c r="AZ101" s="170"/>
      <c r="BA101" s="279"/>
      <c r="BB101" s="280"/>
      <c r="BC101" s="276"/>
      <c r="BD101" s="276"/>
      <c r="BE101" s="276"/>
      <c r="BF101" s="276"/>
      <c r="BG101" s="276"/>
      <c r="BH101" s="276"/>
      <c r="BI101" s="276"/>
      <c r="BJ101" s="276"/>
      <c r="BK101" s="281"/>
      <c r="BL101" s="261"/>
      <c r="BM101" s="261"/>
      <c r="BN101" s="261"/>
      <c r="BO101" s="261"/>
      <c r="BP101" s="261"/>
      <c r="BQ101" s="261"/>
      <c r="BR101" s="207"/>
      <c r="BS101" s="207"/>
      <c r="BT101" s="207"/>
    </row>
    <row r="102" spans="2:72" s="98" customFormat="1" ht="22.5" customHeight="1">
      <c r="B102" s="209"/>
      <c r="H102" s="209"/>
      <c r="J102" s="277"/>
      <c r="K102" s="261"/>
      <c r="L102" s="261"/>
      <c r="M102" s="261"/>
      <c r="N102" s="261"/>
      <c r="O102" s="261"/>
      <c r="P102" s="261"/>
      <c r="Q102" s="261"/>
      <c r="R102" s="277"/>
      <c r="S102" s="261"/>
      <c r="T102" s="261"/>
      <c r="U102" s="261"/>
      <c r="V102" s="261"/>
      <c r="W102" s="261"/>
      <c r="X102" s="261"/>
      <c r="Y102" s="261"/>
      <c r="Z102" s="277"/>
      <c r="AA102" s="261"/>
      <c r="AB102" s="261"/>
      <c r="AC102" s="261"/>
      <c r="AD102" s="261"/>
      <c r="AE102" s="261"/>
      <c r="AF102" s="261"/>
      <c r="AG102" s="261"/>
      <c r="AH102" s="261"/>
      <c r="AI102" s="261"/>
      <c r="AJ102" s="261"/>
      <c r="AK102" s="275"/>
      <c r="AL102" s="261"/>
      <c r="AM102" s="261"/>
      <c r="AN102" s="261"/>
      <c r="AO102" s="261"/>
      <c r="AP102" s="278"/>
      <c r="AQ102" s="261"/>
      <c r="AR102" s="261"/>
      <c r="AS102" s="277"/>
      <c r="AT102" s="279"/>
      <c r="AU102" s="279"/>
      <c r="AV102" s="279"/>
      <c r="AW102" s="279"/>
      <c r="AX102" s="279"/>
      <c r="AY102" s="279"/>
      <c r="AZ102" s="279"/>
      <c r="BA102" s="276"/>
      <c r="BB102" s="280"/>
      <c r="BC102" s="278"/>
      <c r="BD102" s="278"/>
      <c r="BE102" s="278"/>
      <c r="BF102" s="278"/>
      <c r="BG102" s="278"/>
      <c r="BH102" s="278"/>
      <c r="BI102" s="278"/>
      <c r="BJ102" s="276"/>
      <c r="BK102" s="281"/>
      <c r="BL102" s="261"/>
      <c r="BM102" s="261"/>
      <c r="BN102" s="261"/>
      <c r="BO102" s="261"/>
      <c r="BP102" s="261"/>
      <c r="BQ102" s="261"/>
      <c r="BR102" s="207"/>
      <c r="BS102" s="207"/>
      <c r="BT102" s="207"/>
    </row>
    <row r="103" spans="2:72" ht="22.5" customHeight="1">
      <c r="AT103" s="279"/>
      <c r="AU103" s="279"/>
      <c r="AV103" s="279"/>
      <c r="AW103" s="279"/>
      <c r="AX103" s="279"/>
      <c r="AY103" s="279"/>
      <c r="AZ103" s="279"/>
      <c r="BA103" s="276"/>
      <c r="BB103" s="281"/>
      <c r="BC103" s="278"/>
      <c r="BD103" s="278"/>
      <c r="BE103" s="278"/>
      <c r="BF103" s="278"/>
      <c r="BG103" s="278"/>
      <c r="BH103" s="278"/>
      <c r="BI103" s="278"/>
      <c r="BJ103" s="276"/>
      <c r="BK103" s="281"/>
      <c r="BL103" s="261"/>
      <c r="BM103" s="261"/>
      <c r="BN103" s="261"/>
      <c r="BO103" s="261"/>
      <c r="BP103" s="261"/>
      <c r="BQ103" s="261"/>
      <c r="BR103" s="39"/>
      <c r="BS103" s="39"/>
      <c r="BT103" s="39"/>
    </row>
    <row r="104" spans="2:72" s="207" customFormat="1" ht="22.5" customHeight="1">
      <c r="B104" s="39"/>
      <c r="H104" s="39"/>
      <c r="J104" s="280"/>
      <c r="K104" s="279"/>
      <c r="L104" s="279"/>
      <c r="M104" s="279"/>
      <c r="N104" s="279"/>
      <c r="O104" s="279"/>
      <c r="P104" s="279"/>
      <c r="Q104" s="279"/>
      <c r="R104" s="280"/>
      <c r="S104" s="279"/>
      <c r="T104" s="279"/>
      <c r="U104" s="279"/>
      <c r="V104" s="279"/>
      <c r="W104" s="279"/>
      <c r="X104" s="279"/>
      <c r="Y104" s="279"/>
      <c r="Z104" s="280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80"/>
      <c r="AL104" s="279"/>
      <c r="AM104" s="279"/>
      <c r="AN104" s="279"/>
      <c r="AO104" s="279"/>
      <c r="AP104" s="279"/>
      <c r="AQ104" s="279"/>
      <c r="AR104" s="279"/>
      <c r="AS104" s="280"/>
      <c r="AT104" s="276"/>
      <c r="AU104" s="276"/>
      <c r="AV104" s="276"/>
      <c r="AW104" s="276"/>
      <c r="AX104" s="276"/>
      <c r="AY104" s="276"/>
      <c r="AZ104" s="276"/>
      <c r="BA104" s="276"/>
      <c r="BB104" s="281"/>
      <c r="BC104" s="278"/>
      <c r="BD104" s="278"/>
      <c r="BE104" s="278"/>
      <c r="BF104" s="278"/>
      <c r="BG104" s="278"/>
      <c r="BH104" s="278"/>
      <c r="BI104" s="278"/>
      <c r="BJ104" s="276"/>
      <c r="BK104" s="281"/>
      <c r="BL104" s="170"/>
      <c r="BM104" s="170"/>
      <c r="BN104" s="170"/>
      <c r="BO104" s="170"/>
      <c r="BP104" s="170"/>
      <c r="BQ104" s="170"/>
      <c r="BR104" s="39"/>
      <c r="BS104" s="39"/>
      <c r="BT104" s="39"/>
    </row>
    <row r="105" spans="2:72" s="207" customFormat="1" ht="22.5" customHeight="1">
      <c r="B105" s="39"/>
      <c r="D105" s="214"/>
      <c r="E105" s="214"/>
      <c r="F105" s="214"/>
      <c r="G105" s="214"/>
      <c r="H105" s="209"/>
      <c r="I105" s="214"/>
      <c r="J105" s="280"/>
      <c r="K105" s="279"/>
      <c r="L105" s="279"/>
      <c r="M105" s="279"/>
      <c r="N105" s="279"/>
      <c r="O105" s="279"/>
      <c r="P105" s="279"/>
      <c r="Q105" s="279"/>
      <c r="R105" s="280"/>
      <c r="S105" s="279"/>
      <c r="T105" s="279"/>
      <c r="U105" s="279"/>
      <c r="V105" s="279"/>
      <c r="W105" s="279"/>
      <c r="X105" s="279"/>
      <c r="Y105" s="279"/>
      <c r="Z105" s="280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79"/>
      <c r="AK105" s="280"/>
      <c r="AL105" s="279"/>
      <c r="AM105" s="279"/>
      <c r="AN105" s="279"/>
      <c r="AO105" s="279"/>
      <c r="AP105" s="279"/>
      <c r="AQ105" s="279"/>
      <c r="AR105" s="279"/>
      <c r="AS105" s="280"/>
      <c r="AT105" s="276"/>
      <c r="AU105" s="276"/>
      <c r="AV105" s="276"/>
      <c r="AW105" s="276"/>
      <c r="AX105" s="276"/>
      <c r="AY105" s="276"/>
      <c r="AZ105" s="276"/>
      <c r="BA105" s="276"/>
      <c r="BB105" s="281"/>
      <c r="BC105" s="278"/>
      <c r="BD105" s="278"/>
      <c r="BE105" s="278"/>
      <c r="BF105" s="278"/>
      <c r="BG105" s="278"/>
      <c r="BH105" s="278"/>
      <c r="BI105" s="278"/>
      <c r="BJ105" s="276"/>
      <c r="BK105" s="281"/>
      <c r="BL105" s="279"/>
      <c r="BM105" s="279"/>
      <c r="BN105" s="279"/>
      <c r="BO105" s="279"/>
      <c r="BP105" s="279"/>
      <c r="BQ105" s="279"/>
      <c r="BR105" s="39"/>
      <c r="BS105" s="39"/>
      <c r="BT105" s="39"/>
    </row>
    <row r="106" spans="2:72" s="39" customFormat="1" ht="22.5" customHeight="1">
      <c r="J106" s="281"/>
      <c r="K106" s="276"/>
      <c r="L106" s="276"/>
      <c r="M106" s="276"/>
      <c r="N106" s="276"/>
      <c r="O106" s="276"/>
      <c r="P106" s="276"/>
      <c r="Q106" s="276"/>
      <c r="R106" s="281"/>
      <c r="S106" s="276"/>
      <c r="T106" s="276"/>
      <c r="U106" s="276"/>
      <c r="V106" s="276"/>
      <c r="W106" s="276"/>
      <c r="X106" s="276"/>
      <c r="Y106" s="276"/>
      <c r="Z106" s="281"/>
      <c r="AA106" s="276"/>
      <c r="AB106" s="276"/>
      <c r="AC106" s="276"/>
      <c r="AD106" s="276"/>
      <c r="AE106" s="276"/>
      <c r="AF106" s="276"/>
      <c r="AG106" s="276"/>
      <c r="AH106" s="276"/>
      <c r="AI106" s="276"/>
      <c r="AJ106" s="276"/>
      <c r="AK106" s="281"/>
      <c r="AL106" s="276"/>
      <c r="AM106" s="276"/>
      <c r="AN106" s="276"/>
      <c r="AO106" s="276"/>
      <c r="AP106" s="276"/>
      <c r="AQ106" s="276"/>
      <c r="AR106" s="276"/>
      <c r="AS106" s="281"/>
      <c r="AT106" s="276"/>
      <c r="AU106" s="276"/>
      <c r="AV106" s="276"/>
      <c r="AW106" s="276"/>
      <c r="AX106" s="276"/>
      <c r="AY106" s="276"/>
      <c r="AZ106" s="276"/>
      <c r="BA106" s="276"/>
      <c r="BB106" s="281"/>
      <c r="BC106" s="282"/>
      <c r="BD106" s="282"/>
      <c r="BE106" s="282"/>
      <c r="BF106" s="282"/>
      <c r="BG106" s="282"/>
      <c r="BH106" s="282"/>
      <c r="BI106" s="282"/>
      <c r="BJ106" s="276"/>
      <c r="BK106" s="281"/>
      <c r="BL106" s="279"/>
      <c r="BM106" s="279"/>
      <c r="BN106" s="279"/>
      <c r="BO106" s="279"/>
      <c r="BP106" s="279"/>
      <c r="BQ106" s="279"/>
    </row>
    <row r="107" spans="2:72" s="39" customFormat="1" ht="22.5" customHeight="1">
      <c r="J107" s="281"/>
      <c r="K107" s="276"/>
      <c r="L107" s="276"/>
      <c r="M107" s="276"/>
      <c r="N107" s="276"/>
      <c r="O107" s="276"/>
      <c r="P107" s="276"/>
      <c r="Q107" s="276"/>
      <c r="R107" s="281"/>
      <c r="S107" s="276"/>
      <c r="T107" s="276"/>
      <c r="U107" s="276"/>
      <c r="V107" s="276"/>
      <c r="W107" s="276"/>
      <c r="X107" s="276"/>
      <c r="Y107" s="276"/>
      <c r="Z107" s="281"/>
      <c r="AA107" s="276"/>
      <c r="AB107" s="276"/>
      <c r="AC107" s="276"/>
      <c r="AD107" s="276"/>
      <c r="AE107" s="276"/>
      <c r="AF107" s="276"/>
      <c r="AG107" s="276"/>
      <c r="AH107" s="276"/>
      <c r="AI107" s="276"/>
      <c r="AJ107" s="276"/>
      <c r="AK107" s="281"/>
      <c r="AL107" s="276"/>
      <c r="AM107" s="276"/>
      <c r="AN107" s="276"/>
      <c r="AO107" s="276"/>
      <c r="AP107" s="276"/>
      <c r="AQ107" s="276"/>
      <c r="AR107" s="276"/>
      <c r="AS107" s="281"/>
      <c r="AT107" s="276"/>
      <c r="AU107" s="276"/>
      <c r="AV107" s="276"/>
      <c r="AW107" s="276"/>
      <c r="AX107" s="276"/>
      <c r="AY107" s="276"/>
      <c r="AZ107" s="276"/>
      <c r="BA107" s="276"/>
      <c r="BB107" s="281"/>
      <c r="BC107" s="278"/>
      <c r="BD107" s="278"/>
      <c r="BE107" s="278"/>
      <c r="BF107" s="278"/>
      <c r="BG107" s="278"/>
      <c r="BH107" s="278"/>
      <c r="BI107" s="278"/>
      <c r="BJ107" s="278"/>
      <c r="BK107" s="281"/>
      <c r="BL107" s="276"/>
      <c r="BM107" s="276"/>
      <c r="BN107" s="276"/>
      <c r="BO107" s="276"/>
      <c r="BP107" s="276"/>
      <c r="BQ107" s="276"/>
    </row>
    <row r="108" spans="2:72" s="39" customFormat="1" ht="22.5" customHeight="1">
      <c r="J108" s="281"/>
      <c r="K108" s="276"/>
      <c r="L108" s="276"/>
      <c r="M108" s="276"/>
      <c r="N108" s="276"/>
      <c r="O108" s="276"/>
      <c r="P108" s="276"/>
      <c r="Q108" s="276"/>
      <c r="R108" s="281"/>
      <c r="S108" s="276"/>
      <c r="T108" s="276"/>
      <c r="U108" s="276"/>
      <c r="V108" s="276"/>
      <c r="W108" s="276"/>
      <c r="X108" s="276"/>
      <c r="Y108" s="276"/>
      <c r="Z108" s="281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81"/>
      <c r="AL108" s="276"/>
      <c r="AM108" s="276"/>
      <c r="AN108" s="276"/>
      <c r="AO108" s="276"/>
      <c r="AP108" s="276"/>
      <c r="AQ108" s="276"/>
      <c r="AR108" s="276"/>
      <c r="AS108" s="281"/>
      <c r="AT108" s="276"/>
      <c r="AU108" s="276"/>
      <c r="AV108" s="276"/>
      <c r="AW108" s="276"/>
      <c r="AX108" s="276"/>
      <c r="AY108" s="276"/>
      <c r="AZ108" s="276"/>
      <c r="BA108" s="278"/>
      <c r="BB108" s="281"/>
      <c r="BC108" s="279"/>
      <c r="BD108" s="279"/>
      <c r="BE108" s="279"/>
      <c r="BF108" s="279"/>
      <c r="BG108" s="279"/>
      <c r="BH108" s="279"/>
      <c r="BI108" s="279"/>
      <c r="BJ108" s="278"/>
      <c r="BK108" s="281"/>
      <c r="BL108" s="276"/>
      <c r="BM108" s="276"/>
      <c r="BN108" s="276"/>
      <c r="BO108" s="276"/>
      <c r="BP108" s="276"/>
      <c r="BQ108" s="276"/>
    </row>
    <row r="109" spans="2:72" s="39" customFormat="1" ht="22.5" customHeight="1">
      <c r="J109" s="281"/>
      <c r="K109" s="276"/>
      <c r="L109" s="276"/>
      <c r="M109" s="276"/>
      <c r="N109" s="276"/>
      <c r="O109" s="276"/>
      <c r="P109" s="276"/>
      <c r="Q109" s="276"/>
      <c r="R109" s="281"/>
      <c r="S109" s="276"/>
      <c r="T109" s="276"/>
      <c r="U109" s="276"/>
      <c r="V109" s="276"/>
      <c r="W109" s="276"/>
      <c r="X109" s="276"/>
      <c r="Y109" s="276"/>
      <c r="Z109" s="281"/>
      <c r="AA109" s="276"/>
      <c r="AB109" s="276"/>
      <c r="AC109" s="276"/>
      <c r="AD109" s="276"/>
      <c r="AE109" s="276"/>
      <c r="AF109" s="276"/>
      <c r="AG109" s="276"/>
      <c r="AH109" s="276"/>
      <c r="AI109" s="276"/>
      <c r="AJ109" s="276"/>
      <c r="AK109" s="281"/>
      <c r="AL109" s="276"/>
      <c r="AM109" s="276"/>
      <c r="AN109" s="276"/>
      <c r="AO109" s="276"/>
      <c r="AP109" s="276"/>
      <c r="AQ109" s="276"/>
      <c r="AR109" s="276"/>
      <c r="AS109" s="281"/>
      <c r="AT109" s="276"/>
      <c r="AU109" s="276"/>
      <c r="AV109" s="276"/>
      <c r="AW109" s="276"/>
      <c r="AX109" s="276"/>
      <c r="AY109" s="276"/>
      <c r="AZ109" s="276"/>
      <c r="BA109" s="278"/>
      <c r="BB109" s="281"/>
      <c r="BC109" s="279"/>
      <c r="BD109" s="279"/>
      <c r="BE109" s="279"/>
      <c r="BF109" s="279"/>
      <c r="BG109" s="279"/>
      <c r="BH109" s="279"/>
      <c r="BI109" s="279"/>
      <c r="BJ109" s="278"/>
      <c r="BK109" s="281"/>
      <c r="BL109" s="276"/>
      <c r="BM109" s="276"/>
      <c r="BN109" s="276"/>
      <c r="BO109" s="276"/>
      <c r="BP109" s="276"/>
      <c r="BQ109" s="276"/>
      <c r="BR109" s="209"/>
      <c r="BS109" s="209"/>
      <c r="BT109" s="209"/>
    </row>
    <row r="110" spans="2:72" s="39" customFormat="1" ht="22.5" customHeight="1">
      <c r="J110" s="281"/>
      <c r="K110" s="276"/>
      <c r="L110" s="276"/>
      <c r="M110" s="276"/>
      <c r="N110" s="276"/>
      <c r="O110" s="276"/>
      <c r="P110" s="276"/>
      <c r="Q110" s="276"/>
      <c r="R110" s="281"/>
      <c r="S110" s="276"/>
      <c r="T110" s="276"/>
      <c r="U110" s="276"/>
      <c r="V110" s="276"/>
      <c r="W110" s="276"/>
      <c r="X110" s="276"/>
      <c r="Y110" s="276"/>
      <c r="Z110" s="281"/>
      <c r="AA110" s="276"/>
      <c r="AB110" s="276"/>
      <c r="AC110" s="276"/>
      <c r="AD110" s="276"/>
      <c r="AE110" s="276"/>
      <c r="AF110" s="276"/>
      <c r="AG110" s="276"/>
      <c r="AH110" s="276"/>
      <c r="AI110" s="276"/>
      <c r="AJ110" s="276"/>
      <c r="AK110" s="281"/>
      <c r="AL110" s="276"/>
      <c r="AM110" s="276"/>
      <c r="AN110" s="276"/>
      <c r="AO110" s="276"/>
      <c r="AP110" s="276"/>
      <c r="AQ110" s="276"/>
      <c r="AR110" s="276"/>
      <c r="AS110" s="281"/>
      <c r="AT110" s="278"/>
      <c r="AU110" s="278"/>
      <c r="AV110" s="278"/>
      <c r="AW110" s="278"/>
      <c r="AX110" s="278"/>
      <c r="AY110" s="278"/>
      <c r="AZ110" s="278"/>
      <c r="BA110" s="278"/>
      <c r="BB110" s="281"/>
      <c r="BC110" s="279"/>
      <c r="BD110" s="279"/>
      <c r="BE110" s="279"/>
      <c r="BF110" s="279"/>
      <c r="BG110" s="279"/>
      <c r="BH110" s="279"/>
      <c r="BI110" s="279"/>
      <c r="BJ110" s="278"/>
      <c r="BK110" s="281"/>
      <c r="BL110" s="276"/>
      <c r="BM110" s="276"/>
      <c r="BN110" s="276"/>
      <c r="BO110" s="276"/>
      <c r="BP110" s="276"/>
      <c r="BQ110" s="276"/>
      <c r="BR110" s="209"/>
      <c r="BS110" s="209"/>
      <c r="BT110" s="209"/>
    </row>
    <row r="111" spans="2:72" s="39" customFormat="1" ht="22.5" customHeight="1">
      <c r="J111" s="281"/>
      <c r="K111" s="276"/>
      <c r="L111" s="276"/>
      <c r="M111" s="276"/>
      <c r="N111" s="276"/>
      <c r="O111" s="276"/>
      <c r="P111" s="276"/>
      <c r="Q111" s="276"/>
      <c r="R111" s="281"/>
      <c r="S111" s="276"/>
      <c r="T111" s="276"/>
      <c r="U111" s="276"/>
      <c r="V111" s="276"/>
      <c r="W111" s="276"/>
      <c r="X111" s="276"/>
      <c r="Y111" s="276"/>
      <c r="Z111" s="281"/>
      <c r="AA111" s="276"/>
      <c r="AB111" s="276"/>
      <c r="AC111" s="276"/>
      <c r="AD111" s="276"/>
      <c r="AE111" s="276"/>
      <c r="AF111" s="276"/>
      <c r="AG111" s="276"/>
      <c r="AH111" s="276"/>
      <c r="AI111" s="276"/>
      <c r="AJ111" s="276"/>
      <c r="AK111" s="281"/>
      <c r="AL111" s="276"/>
      <c r="AM111" s="276"/>
      <c r="AN111" s="276"/>
      <c r="AO111" s="276"/>
      <c r="AP111" s="276"/>
      <c r="AQ111" s="276"/>
      <c r="AR111" s="276"/>
      <c r="AS111" s="281"/>
      <c r="AT111" s="278"/>
      <c r="AU111" s="278"/>
      <c r="AV111" s="278"/>
      <c r="AW111" s="278"/>
      <c r="AX111" s="278"/>
      <c r="AY111" s="278"/>
      <c r="AZ111" s="278"/>
      <c r="BA111" s="278"/>
      <c r="BB111" s="281"/>
      <c r="BC111" s="279"/>
      <c r="BD111" s="279"/>
      <c r="BE111" s="279"/>
      <c r="BF111" s="279"/>
      <c r="BG111" s="279"/>
      <c r="BH111" s="279"/>
      <c r="BI111" s="279"/>
      <c r="BJ111" s="282"/>
      <c r="BK111" s="283"/>
      <c r="BL111" s="276"/>
      <c r="BM111" s="276"/>
      <c r="BN111" s="276"/>
      <c r="BO111" s="276"/>
      <c r="BP111" s="276"/>
      <c r="BQ111" s="276"/>
      <c r="BR111" s="209"/>
      <c r="BS111" s="209"/>
      <c r="BT111" s="209"/>
    </row>
    <row r="112" spans="2:72" s="209" customFormat="1" ht="22.5" customHeight="1">
      <c r="J112" s="281"/>
      <c r="K112" s="278"/>
      <c r="L112" s="278"/>
      <c r="M112" s="278"/>
      <c r="N112" s="278"/>
      <c r="O112" s="278"/>
      <c r="P112" s="278"/>
      <c r="Q112" s="278"/>
      <c r="R112" s="281"/>
      <c r="S112" s="278"/>
      <c r="T112" s="278"/>
      <c r="U112" s="278"/>
      <c r="V112" s="278"/>
      <c r="W112" s="278"/>
      <c r="X112" s="278"/>
      <c r="Y112" s="278"/>
      <c r="Z112" s="281"/>
      <c r="AA112" s="278"/>
      <c r="AB112" s="278"/>
      <c r="AC112" s="278"/>
      <c r="AD112" s="278"/>
      <c r="AE112" s="278"/>
      <c r="AF112" s="278"/>
      <c r="AG112" s="278"/>
      <c r="AH112" s="278"/>
      <c r="AI112" s="278"/>
      <c r="AJ112" s="278"/>
      <c r="AK112" s="281"/>
      <c r="AL112" s="278"/>
      <c r="AM112" s="278"/>
      <c r="AN112" s="278"/>
      <c r="AO112" s="278"/>
      <c r="AP112" s="278"/>
      <c r="AQ112" s="278"/>
      <c r="AR112" s="278"/>
      <c r="AS112" s="281"/>
      <c r="AT112" s="278"/>
      <c r="AU112" s="278"/>
      <c r="AV112" s="278"/>
      <c r="AW112" s="278"/>
      <c r="AX112" s="278"/>
      <c r="AY112" s="278"/>
      <c r="AZ112" s="278"/>
      <c r="BA112" s="282"/>
      <c r="BB112" s="281"/>
      <c r="BC112" s="279"/>
      <c r="BD112" s="279"/>
      <c r="BE112" s="279"/>
      <c r="BF112" s="279"/>
      <c r="BG112" s="279"/>
      <c r="BH112" s="279"/>
      <c r="BI112" s="279"/>
      <c r="BJ112" s="278"/>
      <c r="BK112" s="281"/>
      <c r="BL112" s="276"/>
      <c r="BM112" s="276"/>
      <c r="BN112" s="276"/>
      <c r="BO112" s="276"/>
      <c r="BP112" s="276"/>
      <c r="BQ112" s="276"/>
    </row>
    <row r="113" spans="1:72" s="209" customFormat="1" ht="22.5" customHeight="1">
      <c r="J113" s="281"/>
      <c r="K113" s="278"/>
      <c r="L113" s="278"/>
      <c r="M113" s="278"/>
      <c r="N113" s="278"/>
      <c r="O113" s="278"/>
      <c r="P113" s="278"/>
      <c r="Q113" s="278"/>
      <c r="R113" s="275"/>
      <c r="S113" s="278"/>
      <c r="T113" s="278"/>
      <c r="U113" s="278"/>
      <c r="V113" s="278"/>
      <c r="W113" s="278"/>
      <c r="X113" s="278"/>
      <c r="Y113" s="278"/>
      <c r="Z113" s="281"/>
      <c r="AA113" s="278"/>
      <c r="AB113" s="278"/>
      <c r="AC113" s="278"/>
      <c r="AD113" s="278"/>
      <c r="AE113" s="278"/>
      <c r="AF113" s="278"/>
      <c r="AG113" s="278"/>
      <c r="AH113" s="278"/>
      <c r="AI113" s="278"/>
      <c r="AJ113" s="278"/>
      <c r="AK113" s="281"/>
      <c r="AL113" s="278"/>
      <c r="AM113" s="278"/>
      <c r="AN113" s="278"/>
      <c r="AO113" s="278"/>
      <c r="AP113" s="278"/>
      <c r="AQ113" s="278"/>
      <c r="AR113" s="278"/>
      <c r="AS113" s="281"/>
      <c r="AT113" s="278"/>
      <c r="AU113" s="278"/>
      <c r="AV113" s="278"/>
      <c r="AW113" s="278"/>
      <c r="AX113" s="278"/>
      <c r="AY113" s="278"/>
      <c r="AZ113" s="278"/>
      <c r="BA113" s="278"/>
      <c r="BB113" s="283"/>
      <c r="BC113" s="279"/>
      <c r="BD113" s="279"/>
      <c r="BE113" s="279"/>
      <c r="BF113" s="279"/>
      <c r="BG113" s="279"/>
      <c r="BH113" s="279"/>
      <c r="BI113" s="279"/>
      <c r="BJ113" s="279"/>
      <c r="BK113" s="280"/>
      <c r="BL113" s="278"/>
      <c r="BM113" s="278"/>
      <c r="BN113" s="278"/>
      <c r="BO113" s="278"/>
      <c r="BP113" s="278"/>
      <c r="BQ113" s="278"/>
      <c r="BR113" s="210"/>
      <c r="BS113" s="210"/>
      <c r="BT113" s="210"/>
    </row>
    <row r="114" spans="1:72" s="209" customFormat="1" ht="22.5" customHeight="1">
      <c r="J114" s="281"/>
      <c r="K114" s="278"/>
      <c r="L114" s="278"/>
      <c r="M114" s="278"/>
      <c r="N114" s="278"/>
      <c r="O114" s="278"/>
      <c r="P114" s="278"/>
      <c r="Q114" s="278"/>
      <c r="R114" s="275"/>
      <c r="S114" s="278"/>
      <c r="T114" s="278"/>
      <c r="U114" s="278"/>
      <c r="V114" s="278"/>
      <c r="W114" s="278"/>
      <c r="X114" s="278"/>
      <c r="Y114" s="278"/>
      <c r="Z114" s="281"/>
      <c r="AA114" s="278"/>
      <c r="AB114" s="278"/>
      <c r="AC114" s="278"/>
      <c r="AD114" s="278"/>
      <c r="AE114" s="278"/>
      <c r="AF114" s="278"/>
      <c r="AG114" s="278"/>
      <c r="AH114" s="278"/>
      <c r="AI114" s="278"/>
      <c r="AJ114" s="278"/>
      <c r="AK114" s="281"/>
      <c r="AL114" s="278"/>
      <c r="AM114" s="278"/>
      <c r="AN114" s="278"/>
      <c r="AO114" s="278"/>
      <c r="AP114" s="278"/>
      <c r="AQ114" s="278"/>
      <c r="AR114" s="278"/>
      <c r="AS114" s="281"/>
      <c r="AT114" s="282"/>
      <c r="AU114" s="282"/>
      <c r="AV114" s="282"/>
      <c r="AW114" s="282"/>
      <c r="AX114" s="282"/>
      <c r="AY114" s="282"/>
      <c r="AZ114" s="282"/>
      <c r="BA114" s="279"/>
      <c r="BB114" s="281"/>
      <c r="BC114" s="279"/>
      <c r="BD114" s="279"/>
      <c r="BE114" s="279"/>
      <c r="BF114" s="279"/>
      <c r="BG114" s="279"/>
      <c r="BH114" s="279"/>
      <c r="BI114" s="279"/>
      <c r="BJ114" s="279"/>
      <c r="BK114" s="280"/>
      <c r="BL114" s="278"/>
      <c r="BM114" s="278"/>
      <c r="BN114" s="278"/>
      <c r="BO114" s="278"/>
      <c r="BP114" s="278"/>
      <c r="BQ114" s="278"/>
    </row>
    <row r="115" spans="1:72" s="209" customFormat="1" ht="22.5" customHeight="1">
      <c r="J115" s="281"/>
      <c r="K115" s="278"/>
      <c r="L115" s="278"/>
      <c r="M115" s="278"/>
      <c r="N115" s="278"/>
      <c r="O115" s="278"/>
      <c r="P115" s="278"/>
      <c r="Q115" s="278"/>
      <c r="R115" s="275"/>
      <c r="S115" s="278"/>
      <c r="T115" s="278"/>
      <c r="U115" s="278"/>
      <c r="V115" s="278"/>
      <c r="W115" s="278"/>
      <c r="X115" s="278"/>
      <c r="Y115" s="278"/>
      <c r="Z115" s="281"/>
      <c r="AA115" s="278"/>
      <c r="AB115" s="278"/>
      <c r="AC115" s="278"/>
      <c r="AD115" s="278"/>
      <c r="AE115" s="278"/>
      <c r="AF115" s="278"/>
      <c r="AG115" s="278"/>
      <c r="AH115" s="278"/>
      <c r="AI115" s="278"/>
      <c r="AJ115" s="278"/>
      <c r="AK115" s="281"/>
      <c r="AL115" s="278"/>
      <c r="AM115" s="278"/>
      <c r="AN115" s="278"/>
      <c r="AO115" s="278"/>
      <c r="AP115" s="278"/>
      <c r="AQ115" s="278"/>
      <c r="AR115" s="278"/>
      <c r="AS115" s="281"/>
      <c r="AT115" s="278"/>
      <c r="AU115" s="278"/>
      <c r="AV115" s="278"/>
      <c r="AW115" s="278"/>
      <c r="AX115" s="278"/>
      <c r="AY115" s="278"/>
      <c r="AZ115" s="278"/>
      <c r="BA115" s="279"/>
      <c r="BB115" s="280"/>
      <c r="BC115" s="279"/>
      <c r="BD115" s="279"/>
      <c r="BE115" s="279"/>
      <c r="BF115" s="279"/>
      <c r="BG115" s="279"/>
      <c r="BH115" s="279"/>
      <c r="BI115" s="279"/>
      <c r="BJ115" s="279"/>
      <c r="BK115" s="280"/>
      <c r="BL115" s="278"/>
      <c r="BM115" s="278"/>
      <c r="BN115" s="278"/>
      <c r="BO115" s="278"/>
      <c r="BP115" s="278"/>
      <c r="BQ115" s="278"/>
      <c r="BR115" s="207"/>
      <c r="BS115" s="207"/>
      <c r="BT115" s="207"/>
    </row>
    <row r="116" spans="1:72" s="210" customFormat="1" ht="22.5" customHeight="1">
      <c r="J116" s="283"/>
      <c r="K116" s="282"/>
      <c r="L116" s="282"/>
      <c r="M116" s="282"/>
      <c r="N116" s="282"/>
      <c r="O116" s="282"/>
      <c r="P116" s="282"/>
      <c r="Q116" s="282"/>
      <c r="R116" s="274"/>
      <c r="S116" s="282"/>
      <c r="T116" s="282"/>
      <c r="U116" s="282"/>
      <c r="V116" s="282"/>
      <c r="W116" s="282"/>
      <c r="X116" s="282"/>
      <c r="Y116" s="282"/>
      <c r="Z116" s="283"/>
      <c r="AA116" s="282"/>
      <c r="AB116" s="282"/>
      <c r="AC116" s="282"/>
      <c r="AD116" s="282"/>
      <c r="AE116" s="282"/>
      <c r="AF116" s="282"/>
      <c r="AG116" s="282"/>
      <c r="AH116" s="282"/>
      <c r="AI116" s="282"/>
      <c r="AJ116" s="282"/>
      <c r="AK116" s="283"/>
      <c r="AL116" s="282"/>
      <c r="AM116" s="282"/>
      <c r="AN116" s="282"/>
      <c r="AO116" s="282"/>
      <c r="AP116" s="282"/>
      <c r="AQ116" s="282"/>
      <c r="AR116" s="282"/>
      <c r="AS116" s="283"/>
      <c r="AT116" s="279"/>
      <c r="AU116" s="279"/>
      <c r="AV116" s="279"/>
      <c r="AW116" s="279"/>
      <c r="AX116" s="279"/>
      <c r="AY116" s="279"/>
      <c r="AZ116" s="279"/>
      <c r="BA116" s="279"/>
      <c r="BB116" s="280"/>
      <c r="BC116" s="279"/>
      <c r="BD116" s="279"/>
      <c r="BE116" s="279"/>
      <c r="BF116" s="279"/>
      <c r="BG116" s="279"/>
      <c r="BH116" s="279"/>
      <c r="BI116" s="279"/>
      <c r="BJ116" s="279"/>
      <c r="BK116" s="280"/>
      <c r="BL116" s="278"/>
      <c r="BM116" s="278"/>
      <c r="BN116" s="278"/>
      <c r="BO116" s="278"/>
      <c r="BP116" s="278"/>
      <c r="BQ116" s="278"/>
      <c r="BR116" s="207"/>
      <c r="BS116" s="207"/>
      <c r="BT116" s="207"/>
    </row>
    <row r="117" spans="1:72" s="209" customFormat="1" ht="22.5" customHeight="1">
      <c r="J117" s="281"/>
      <c r="K117" s="278"/>
      <c r="L117" s="278"/>
      <c r="M117" s="278"/>
      <c r="N117" s="278"/>
      <c r="O117" s="278"/>
      <c r="P117" s="278"/>
      <c r="Q117" s="278"/>
      <c r="R117" s="275"/>
      <c r="S117" s="278"/>
      <c r="T117" s="278"/>
      <c r="U117" s="278"/>
      <c r="V117" s="278"/>
      <c r="W117" s="278"/>
      <c r="X117" s="278"/>
      <c r="Y117" s="278"/>
      <c r="Z117" s="281"/>
      <c r="AA117" s="278"/>
      <c r="AB117" s="278"/>
      <c r="AC117" s="278"/>
      <c r="AD117" s="278"/>
      <c r="AE117" s="278"/>
      <c r="AF117" s="278"/>
      <c r="AG117" s="278"/>
      <c r="AH117" s="278"/>
      <c r="AI117" s="278"/>
      <c r="AJ117" s="278"/>
      <c r="AK117" s="281"/>
      <c r="AL117" s="278"/>
      <c r="AM117" s="278"/>
      <c r="AN117" s="278"/>
      <c r="AO117" s="278"/>
      <c r="AP117" s="278"/>
      <c r="AQ117" s="278"/>
      <c r="AR117" s="278"/>
      <c r="AS117" s="281"/>
      <c r="AT117" s="279"/>
      <c r="AU117" s="279"/>
      <c r="AV117" s="279"/>
      <c r="AW117" s="279"/>
      <c r="AX117" s="279"/>
      <c r="AY117" s="279"/>
      <c r="AZ117" s="279"/>
      <c r="BA117" s="279"/>
      <c r="BB117" s="280"/>
      <c r="BC117" s="276"/>
      <c r="BD117" s="276"/>
      <c r="BE117" s="276"/>
      <c r="BF117" s="276"/>
      <c r="BG117" s="276"/>
      <c r="BH117" s="276"/>
      <c r="BI117" s="276"/>
      <c r="BJ117" s="279"/>
      <c r="BK117" s="280"/>
      <c r="BL117" s="282"/>
      <c r="BM117" s="282"/>
      <c r="BN117" s="282"/>
      <c r="BO117" s="282"/>
      <c r="BP117" s="282"/>
      <c r="BQ117" s="282"/>
      <c r="BR117" s="207"/>
      <c r="BS117" s="207"/>
      <c r="BT117" s="207"/>
    </row>
    <row r="118" spans="1:72" s="207" customFormat="1" ht="22.5" customHeight="1">
      <c r="B118" s="39"/>
      <c r="H118" s="39"/>
      <c r="J118" s="280"/>
      <c r="K118" s="279"/>
      <c r="L118" s="279"/>
      <c r="M118" s="279"/>
      <c r="N118" s="279"/>
      <c r="O118" s="279"/>
      <c r="P118" s="279"/>
      <c r="Q118" s="279"/>
      <c r="R118" s="275"/>
      <c r="S118" s="279"/>
      <c r="T118" s="279"/>
      <c r="U118" s="279"/>
      <c r="V118" s="279"/>
      <c r="W118" s="276"/>
      <c r="X118" s="279"/>
      <c r="Y118" s="279"/>
      <c r="Z118" s="280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79"/>
      <c r="AK118" s="280"/>
      <c r="AL118" s="279"/>
      <c r="AM118" s="279"/>
      <c r="AN118" s="279"/>
      <c r="AO118" s="279"/>
      <c r="AP118" s="279"/>
      <c r="AQ118" s="279"/>
      <c r="AR118" s="279"/>
      <c r="AS118" s="280"/>
      <c r="AT118" s="279"/>
      <c r="AU118" s="279"/>
      <c r="AV118" s="279"/>
      <c r="AW118" s="279"/>
      <c r="AX118" s="279"/>
      <c r="AY118" s="279"/>
      <c r="AZ118" s="279"/>
      <c r="BA118" s="279"/>
      <c r="BB118" s="280"/>
      <c r="BC118" s="276"/>
      <c r="BD118" s="276"/>
      <c r="BE118" s="276"/>
      <c r="BF118" s="276"/>
      <c r="BG118" s="276"/>
      <c r="BH118" s="276"/>
      <c r="BI118" s="276"/>
      <c r="BJ118" s="279"/>
      <c r="BK118" s="280"/>
      <c r="BL118" s="278"/>
      <c r="BM118" s="278"/>
      <c r="BN118" s="278"/>
      <c r="BO118" s="278"/>
      <c r="BP118" s="278"/>
      <c r="BQ118" s="278"/>
    </row>
    <row r="119" spans="1:72" s="207" customFormat="1" ht="22.5" customHeight="1">
      <c r="B119" s="39"/>
      <c r="H119" s="39"/>
      <c r="J119" s="280"/>
      <c r="K119" s="279"/>
      <c r="L119" s="279"/>
      <c r="M119" s="279"/>
      <c r="N119" s="279"/>
      <c r="O119" s="279"/>
      <c r="P119" s="279"/>
      <c r="Q119" s="284"/>
      <c r="R119" s="266"/>
      <c r="S119" s="285"/>
      <c r="T119" s="279"/>
      <c r="U119" s="279"/>
      <c r="V119" s="279"/>
      <c r="W119" s="276"/>
      <c r="X119" s="279"/>
      <c r="Y119" s="279"/>
      <c r="Z119" s="280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79"/>
      <c r="AK119" s="280"/>
      <c r="AL119" s="279"/>
      <c r="AM119" s="279"/>
      <c r="AN119" s="279"/>
      <c r="AO119" s="279"/>
      <c r="AP119" s="279"/>
      <c r="AQ119" s="279"/>
      <c r="AR119" s="279"/>
      <c r="AS119" s="280"/>
      <c r="AT119" s="279"/>
      <c r="AU119" s="279"/>
      <c r="AV119" s="279"/>
      <c r="AW119" s="279"/>
      <c r="AX119" s="279"/>
      <c r="AY119" s="279"/>
      <c r="AZ119" s="279"/>
      <c r="BA119" s="279"/>
      <c r="BB119" s="280"/>
      <c r="BC119" s="276"/>
      <c r="BD119" s="276"/>
      <c r="BE119" s="276"/>
      <c r="BF119" s="276"/>
      <c r="BG119" s="276"/>
      <c r="BH119" s="276"/>
      <c r="BI119" s="276"/>
      <c r="BJ119" s="279"/>
      <c r="BK119" s="280"/>
      <c r="BL119" s="279"/>
      <c r="BM119" s="279"/>
      <c r="BN119" s="279"/>
      <c r="BO119" s="279"/>
      <c r="BP119" s="279"/>
      <c r="BQ119" s="279"/>
    </row>
    <row r="120" spans="1:72" s="207" customFormat="1" ht="22.5" customHeight="1">
      <c r="B120" s="39"/>
      <c r="H120" s="39"/>
      <c r="J120" s="280"/>
      <c r="K120" s="279"/>
      <c r="L120" s="279"/>
      <c r="M120" s="279"/>
      <c r="N120" s="279"/>
      <c r="O120" s="279"/>
      <c r="P120" s="279"/>
      <c r="Q120" s="284"/>
      <c r="R120" s="266"/>
      <c r="S120" s="285"/>
      <c r="T120" s="279"/>
      <c r="U120" s="279"/>
      <c r="V120" s="279"/>
      <c r="W120" s="276"/>
      <c r="X120" s="279"/>
      <c r="Y120" s="279"/>
      <c r="Z120" s="280"/>
      <c r="AA120" s="279"/>
      <c r="AB120" s="279"/>
      <c r="AC120" s="279"/>
      <c r="AD120" s="279"/>
      <c r="AE120" s="279"/>
      <c r="AF120" s="279"/>
      <c r="AG120" s="279"/>
      <c r="AH120" s="279"/>
      <c r="AI120" s="279"/>
      <c r="AJ120" s="279"/>
      <c r="AK120" s="280"/>
      <c r="AL120" s="279"/>
      <c r="AM120" s="279"/>
      <c r="AN120" s="279"/>
      <c r="AO120" s="279"/>
      <c r="AP120" s="279"/>
      <c r="AQ120" s="279"/>
      <c r="AR120" s="279"/>
      <c r="AS120" s="280"/>
      <c r="AT120" s="279"/>
      <c r="AU120" s="279"/>
      <c r="AV120" s="279"/>
      <c r="AW120" s="279"/>
      <c r="AX120" s="279"/>
      <c r="AY120" s="279"/>
      <c r="AZ120" s="279"/>
      <c r="BA120" s="279"/>
      <c r="BB120" s="280"/>
      <c r="BC120" s="276"/>
      <c r="BD120" s="276"/>
      <c r="BE120" s="276"/>
      <c r="BF120" s="276"/>
      <c r="BG120" s="276"/>
      <c r="BH120" s="276"/>
      <c r="BI120" s="276"/>
      <c r="BJ120" s="279"/>
      <c r="BK120" s="280"/>
      <c r="BL120" s="279"/>
      <c r="BM120" s="279"/>
      <c r="BN120" s="279"/>
      <c r="BO120" s="279"/>
      <c r="BP120" s="279"/>
      <c r="BQ120" s="279"/>
    </row>
    <row r="121" spans="1:72" s="207" customFormat="1" ht="22.5" customHeight="1">
      <c r="B121" s="39"/>
      <c r="H121" s="39"/>
      <c r="J121" s="280"/>
      <c r="K121" s="279"/>
      <c r="L121" s="279"/>
      <c r="M121" s="279"/>
      <c r="N121" s="279"/>
      <c r="O121" s="279"/>
      <c r="P121" s="279"/>
      <c r="Q121" s="284"/>
      <c r="R121" s="266"/>
      <c r="S121" s="285"/>
      <c r="T121" s="279"/>
      <c r="U121" s="279"/>
      <c r="V121" s="279"/>
      <c r="W121" s="276"/>
      <c r="X121" s="279"/>
      <c r="Y121" s="279"/>
      <c r="Z121" s="280"/>
      <c r="AA121" s="279"/>
      <c r="AB121" s="279"/>
      <c r="AC121" s="279"/>
      <c r="AD121" s="279"/>
      <c r="AE121" s="279"/>
      <c r="AF121" s="279"/>
      <c r="AG121" s="279"/>
      <c r="AH121" s="279"/>
      <c r="AI121" s="279"/>
      <c r="AJ121" s="279"/>
      <c r="AK121" s="280"/>
      <c r="AL121" s="279"/>
      <c r="AM121" s="279"/>
      <c r="AN121" s="279"/>
      <c r="AO121" s="279"/>
      <c r="AP121" s="279"/>
      <c r="AQ121" s="279"/>
      <c r="AR121" s="279"/>
      <c r="AS121" s="280"/>
      <c r="AT121" s="279"/>
      <c r="AU121" s="279"/>
      <c r="AV121" s="279"/>
      <c r="AW121" s="279"/>
      <c r="AX121" s="279"/>
      <c r="AY121" s="279"/>
      <c r="AZ121" s="279"/>
      <c r="BA121" s="279"/>
      <c r="BB121" s="280"/>
      <c r="BC121" s="276"/>
      <c r="BD121" s="276"/>
      <c r="BE121" s="276"/>
      <c r="BF121" s="276"/>
      <c r="BG121" s="276"/>
      <c r="BH121" s="276"/>
      <c r="BI121" s="276"/>
      <c r="BJ121" s="279"/>
      <c r="BK121" s="280"/>
      <c r="BL121" s="279"/>
      <c r="BM121" s="279"/>
      <c r="BN121" s="279"/>
      <c r="BO121" s="279"/>
      <c r="BP121" s="279"/>
      <c r="BQ121" s="279"/>
    </row>
    <row r="122" spans="1:72" s="207" customFormat="1" ht="22.5" customHeight="1">
      <c r="B122" s="39"/>
      <c r="H122" s="39"/>
      <c r="J122" s="280"/>
      <c r="K122" s="279"/>
      <c r="L122" s="279"/>
      <c r="M122" s="279"/>
      <c r="N122" s="279"/>
      <c r="O122" s="279"/>
      <c r="P122" s="279"/>
      <c r="Q122" s="284"/>
      <c r="R122" s="266"/>
      <c r="S122" s="285"/>
      <c r="T122" s="284"/>
      <c r="U122" s="284"/>
      <c r="V122" s="284"/>
      <c r="W122" s="258"/>
      <c r="X122" s="284"/>
      <c r="Y122" s="279"/>
      <c r="Z122" s="280"/>
      <c r="AA122" s="279"/>
      <c r="AB122" s="279"/>
      <c r="AC122" s="279"/>
      <c r="AD122" s="279"/>
      <c r="AE122" s="279"/>
      <c r="AF122" s="279"/>
      <c r="AG122" s="279"/>
      <c r="AH122" s="279"/>
      <c r="AI122" s="279"/>
      <c r="AJ122" s="279"/>
      <c r="AK122" s="280"/>
      <c r="AL122" s="279"/>
      <c r="AM122" s="279"/>
      <c r="AN122" s="279"/>
      <c r="AO122" s="279"/>
      <c r="AP122" s="279"/>
      <c r="AQ122" s="279"/>
      <c r="AR122" s="279"/>
      <c r="AS122" s="280"/>
      <c r="AT122" s="279"/>
      <c r="AU122" s="279"/>
      <c r="AV122" s="279"/>
      <c r="AW122" s="279"/>
      <c r="AX122" s="279"/>
      <c r="AY122" s="279"/>
      <c r="AZ122" s="279"/>
      <c r="BA122" s="279"/>
      <c r="BB122" s="280"/>
      <c r="BC122" s="276"/>
      <c r="BD122" s="276"/>
      <c r="BE122" s="276"/>
      <c r="BF122" s="276"/>
      <c r="BG122" s="276"/>
      <c r="BH122" s="276"/>
      <c r="BI122" s="276"/>
      <c r="BJ122" s="276"/>
      <c r="BK122" s="281"/>
      <c r="BL122" s="279"/>
      <c r="BM122" s="279"/>
      <c r="BN122" s="279"/>
      <c r="BO122" s="279"/>
      <c r="BP122" s="279"/>
      <c r="BQ122" s="279"/>
    </row>
    <row r="123" spans="1:72" s="207" customFormat="1" ht="22.5" customHeight="1">
      <c r="B123" s="39"/>
      <c r="H123" s="39"/>
      <c r="J123" s="280"/>
      <c r="K123" s="279"/>
      <c r="L123" s="279"/>
      <c r="M123" s="279"/>
      <c r="N123" s="279"/>
      <c r="O123" s="279"/>
      <c r="P123" s="279"/>
      <c r="Q123" s="279"/>
      <c r="R123" s="275"/>
      <c r="S123" s="279"/>
      <c r="T123" s="279"/>
      <c r="U123" s="279"/>
      <c r="V123" s="279"/>
      <c r="W123" s="276"/>
      <c r="X123" s="279"/>
      <c r="Y123" s="279"/>
      <c r="Z123" s="280"/>
      <c r="AA123" s="279"/>
      <c r="AB123" s="279"/>
      <c r="AC123" s="279"/>
      <c r="AD123" s="279"/>
      <c r="AE123" s="279"/>
      <c r="AF123" s="279"/>
      <c r="AG123" s="279"/>
      <c r="AH123" s="279"/>
      <c r="AI123" s="279"/>
      <c r="AJ123" s="279"/>
      <c r="AK123" s="280"/>
      <c r="AL123" s="279"/>
      <c r="AM123" s="279"/>
      <c r="AN123" s="279"/>
      <c r="AO123" s="279"/>
      <c r="AP123" s="279"/>
      <c r="AQ123" s="279"/>
      <c r="AR123" s="279"/>
      <c r="AS123" s="280"/>
      <c r="AT123" s="279"/>
      <c r="AU123" s="279"/>
      <c r="AV123" s="279"/>
      <c r="AW123" s="279"/>
      <c r="AX123" s="279"/>
      <c r="AY123" s="279"/>
      <c r="AZ123" s="279"/>
      <c r="BA123" s="276"/>
      <c r="BB123" s="280"/>
      <c r="BC123" s="276"/>
      <c r="BD123" s="276"/>
      <c r="BE123" s="276"/>
      <c r="BF123" s="276"/>
      <c r="BG123" s="276"/>
      <c r="BH123" s="276"/>
      <c r="BI123" s="276"/>
      <c r="BJ123" s="276"/>
      <c r="BK123" s="281"/>
      <c r="BL123" s="279"/>
      <c r="BM123" s="279"/>
      <c r="BN123" s="279"/>
      <c r="BO123" s="279"/>
      <c r="BP123" s="279"/>
      <c r="BQ123" s="279"/>
    </row>
    <row r="124" spans="1:72" s="207" customFormat="1" ht="22.5" customHeight="1">
      <c r="A124" s="208"/>
      <c r="B124" s="39"/>
      <c r="H124" s="39"/>
      <c r="J124" s="280"/>
      <c r="K124" s="279"/>
      <c r="L124" s="279"/>
      <c r="M124" s="279"/>
      <c r="N124" s="279"/>
      <c r="O124" s="279"/>
      <c r="P124" s="279"/>
      <c r="Q124" s="279"/>
      <c r="R124" s="275"/>
      <c r="S124" s="279"/>
      <c r="T124" s="279"/>
      <c r="U124" s="279"/>
      <c r="V124" s="279"/>
      <c r="W124" s="276"/>
      <c r="X124" s="279"/>
      <c r="Y124" s="279"/>
      <c r="Z124" s="280"/>
      <c r="AA124" s="279"/>
      <c r="AB124" s="279"/>
      <c r="AC124" s="279"/>
      <c r="AD124" s="279"/>
      <c r="AE124" s="279"/>
      <c r="AF124" s="279"/>
      <c r="AG124" s="279"/>
      <c r="AH124" s="279"/>
      <c r="AI124" s="279"/>
      <c r="AJ124" s="279"/>
      <c r="AK124" s="280"/>
      <c r="AL124" s="279"/>
      <c r="AM124" s="279"/>
      <c r="AN124" s="279"/>
      <c r="AO124" s="279"/>
      <c r="AP124" s="279"/>
      <c r="AQ124" s="279"/>
      <c r="AR124" s="279"/>
      <c r="AS124" s="280"/>
      <c r="AT124" s="279"/>
      <c r="AU124" s="279"/>
      <c r="AV124" s="279"/>
      <c r="AW124" s="279"/>
      <c r="AX124" s="279"/>
      <c r="AY124" s="279"/>
      <c r="AZ124" s="279"/>
      <c r="BA124" s="276"/>
      <c r="BB124" s="281"/>
      <c r="BC124" s="276"/>
      <c r="BD124" s="276"/>
      <c r="BE124" s="276"/>
      <c r="BF124" s="276"/>
      <c r="BG124" s="276"/>
      <c r="BH124" s="276"/>
      <c r="BI124" s="276"/>
      <c r="BJ124" s="276"/>
      <c r="BK124" s="281"/>
      <c r="BL124" s="279"/>
      <c r="BM124" s="279"/>
      <c r="BN124" s="279"/>
      <c r="BO124" s="279"/>
      <c r="BP124" s="279"/>
      <c r="BQ124" s="279"/>
      <c r="BR124" s="39"/>
      <c r="BS124" s="39"/>
      <c r="BT124" s="39"/>
    </row>
    <row r="125" spans="1:72" s="207" customFormat="1" ht="22.5" customHeight="1">
      <c r="B125" s="39"/>
      <c r="H125" s="39"/>
      <c r="J125" s="280"/>
      <c r="K125" s="279"/>
      <c r="L125" s="279"/>
      <c r="M125" s="279"/>
      <c r="N125" s="279"/>
      <c r="O125" s="279"/>
      <c r="P125" s="279"/>
      <c r="Q125" s="279"/>
      <c r="R125" s="275"/>
      <c r="S125" s="279"/>
      <c r="T125" s="279"/>
      <c r="U125" s="279"/>
      <c r="V125" s="279"/>
      <c r="W125" s="276"/>
      <c r="X125" s="279"/>
      <c r="Y125" s="279"/>
      <c r="Z125" s="280"/>
      <c r="AA125" s="279"/>
      <c r="AB125" s="279"/>
      <c r="AC125" s="279"/>
      <c r="AD125" s="279"/>
      <c r="AE125" s="279"/>
      <c r="AF125" s="279"/>
      <c r="AG125" s="279"/>
      <c r="AH125" s="279"/>
      <c r="AI125" s="279"/>
      <c r="AJ125" s="279"/>
      <c r="AK125" s="280"/>
      <c r="AL125" s="279"/>
      <c r="AM125" s="279"/>
      <c r="AN125" s="279"/>
      <c r="AO125" s="279"/>
      <c r="AP125" s="279"/>
      <c r="AQ125" s="279"/>
      <c r="AR125" s="279"/>
      <c r="AS125" s="280"/>
      <c r="AT125" s="276"/>
      <c r="AU125" s="276"/>
      <c r="AV125" s="276"/>
      <c r="AW125" s="276"/>
      <c r="AX125" s="276"/>
      <c r="AY125" s="276"/>
      <c r="AZ125" s="276"/>
      <c r="BA125" s="276"/>
      <c r="BB125" s="281"/>
      <c r="BC125" s="276"/>
      <c r="BD125" s="276"/>
      <c r="BE125" s="276"/>
      <c r="BF125" s="276"/>
      <c r="BG125" s="276"/>
      <c r="BH125" s="276"/>
      <c r="BI125" s="276"/>
      <c r="BJ125" s="276"/>
      <c r="BK125" s="281"/>
      <c r="BL125" s="279"/>
      <c r="BM125" s="279"/>
      <c r="BN125" s="279"/>
      <c r="BO125" s="279"/>
      <c r="BP125" s="279"/>
      <c r="BQ125" s="279"/>
      <c r="BR125" s="39"/>
      <c r="BS125" s="39"/>
      <c r="BT125" s="39"/>
    </row>
    <row r="126" spans="1:72" s="207" customFormat="1" ht="22.5" customHeight="1">
      <c r="B126" s="39"/>
      <c r="H126" s="39"/>
      <c r="J126" s="280"/>
      <c r="K126" s="279"/>
      <c r="L126" s="279"/>
      <c r="M126" s="279"/>
      <c r="N126" s="279"/>
      <c r="O126" s="279"/>
      <c r="P126" s="279"/>
      <c r="Q126" s="279"/>
      <c r="R126" s="275"/>
      <c r="S126" s="279"/>
      <c r="T126" s="279"/>
      <c r="U126" s="279"/>
      <c r="V126" s="279"/>
      <c r="W126" s="276"/>
      <c r="X126" s="279"/>
      <c r="Y126" s="279"/>
      <c r="Z126" s="280"/>
      <c r="AA126" s="279"/>
      <c r="AB126" s="279"/>
      <c r="AC126" s="279"/>
      <c r="AD126" s="279"/>
      <c r="AE126" s="279"/>
      <c r="AF126" s="279"/>
      <c r="AG126" s="279"/>
      <c r="AH126" s="279"/>
      <c r="AI126" s="279"/>
      <c r="AJ126" s="279"/>
      <c r="AK126" s="280"/>
      <c r="AL126" s="279"/>
      <c r="AM126" s="279"/>
      <c r="AN126" s="279"/>
      <c r="AO126" s="279"/>
      <c r="AP126" s="279"/>
      <c r="AQ126" s="279"/>
      <c r="AR126" s="279"/>
      <c r="AS126" s="280"/>
      <c r="AT126" s="276"/>
      <c r="AU126" s="276"/>
      <c r="AV126" s="276"/>
      <c r="AW126" s="276"/>
      <c r="AX126" s="276"/>
      <c r="AY126" s="276"/>
      <c r="AZ126" s="276"/>
      <c r="BA126" s="276"/>
      <c r="BB126" s="281"/>
      <c r="BC126" s="276"/>
      <c r="BD126" s="276"/>
      <c r="BE126" s="276"/>
      <c r="BF126" s="276"/>
      <c r="BG126" s="276"/>
      <c r="BH126" s="276"/>
      <c r="BI126" s="276"/>
      <c r="BJ126" s="276"/>
      <c r="BK126" s="281"/>
      <c r="BL126" s="279"/>
      <c r="BM126" s="279"/>
      <c r="BN126" s="279"/>
      <c r="BO126" s="279"/>
      <c r="BP126" s="279"/>
      <c r="BQ126" s="279"/>
      <c r="BR126" s="39"/>
      <c r="BS126" s="39"/>
      <c r="BT126" s="39"/>
    </row>
    <row r="127" spans="1:72" s="39" customFormat="1" ht="22.5" customHeight="1">
      <c r="J127" s="281"/>
      <c r="K127" s="276"/>
      <c r="L127" s="276"/>
      <c r="M127" s="276"/>
      <c r="N127" s="276"/>
      <c r="O127" s="276"/>
      <c r="P127" s="276"/>
      <c r="Q127" s="276"/>
      <c r="R127" s="275"/>
      <c r="S127" s="276"/>
      <c r="T127" s="276"/>
      <c r="U127" s="276"/>
      <c r="V127" s="276"/>
      <c r="W127" s="276"/>
      <c r="X127" s="276"/>
      <c r="Y127" s="276"/>
      <c r="Z127" s="281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81"/>
      <c r="AL127" s="276"/>
      <c r="AM127" s="276"/>
      <c r="AN127" s="276"/>
      <c r="AO127" s="276"/>
      <c r="AP127" s="276"/>
      <c r="AQ127" s="276"/>
      <c r="AR127" s="276"/>
      <c r="AS127" s="281"/>
      <c r="AT127" s="276"/>
      <c r="AU127" s="276"/>
      <c r="AV127" s="276"/>
      <c r="AW127" s="276"/>
      <c r="AX127" s="276"/>
      <c r="AY127" s="276"/>
      <c r="AZ127" s="276"/>
      <c r="BA127" s="276"/>
      <c r="BB127" s="281"/>
      <c r="BC127" s="276"/>
      <c r="BD127" s="276"/>
      <c r="BE127" s="276"/>
      <c r="BF127" s="276"/>
      <c r="BG127" s="276"/>
      <c r="BH127" s="276"/>
      <c r="BI127" s="276"/>
      <c r="BJ127" s="276"/>
      <c r="BK127" s="281"/>
      <c r="BL127" s="279"/>
      <c r="BM127" s="279"/>
      <c r="BN127" s="279"/>
      <c r="BO127" s="279"/>
      <c r="BP127" s="279"/>
      <c r="BQ127" s="279"/>
    </row>
    <row r="128" spans="1:72" s="39" customFormat="1" ht="22.5" customHeight="1">
      <c r="J128" s="281"/>
      <c r="K128" s="276"/>
      <c r="L128" s="276"/>
      <c r="M128" s="276"/>
      <c r="N128" s="276"/>
      <c r="O128" s="276"/>
      <c r="P128" s="276"/>
      <c r="Q128" s="276"/>
      <c r="R128" s="275"/>
      <c r="S128" s="276"/>
      <c r="T128" s="276"/>
      <c r="U128" s="276"/>
      <c r="V128" s="276"/>
      <c r="W128" s="276"/>
      <c r="X128" s="276"/>
      <c r="Y128" s="276"/>
      <c r="Z128" s="281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81"/>
      <c r="AL128" s="276"/>
      <c r="AM128" s="276"/>
      <c r="AN128" s="276"/>
      <c r="AO128" s="276"/>
      <c r="AP128" s="276"/>
      <c r="AQ128" s="276"/>
      <c r="AR128" s="276"/>
      <c r="AS128" s="281"/>
      <c r="AT128" s="276"/>
      <c r="AU128" s="276"/>
      <c r="AV128" s="276"/>
      <c r="AW128" s="276"/>
      <c r="AX128" s="276"/>
      <c r="AY128" s="276"/>
      <c r="AZ128" s="276"/>
      <c r="BA128" s="276"/>
      <c r="BB128" s="281"/>
      <c r="BC128" s="276"/>
      <c r="BD128" s="276"/>
      <c r="BE128" s="276"/>
      <c r="BF128" s="276"/>
      <c r="BG128" s="276"/>
      <c r="BH128" s="276"/>
      <c r="BI128" s="276"/>
      <c r="BJ128" s="276"/>
      <c r="BK128" s="281"/>
      <c r="BL128" s="276"/>
      <c r="BM128" s="276"/>
      <c r="BN128" s="276"/>
      <c r="BO128" s="276"/>
      <c r="BP128" s="276"/>
      <c r="BQ128" s="276"/>
    </row>
    <row r="129" spans="1:72" s="39" customFormat="1" ht="22.5" customHeight="1">
      <c r="J129" s="281"/>
      <c r="K129" s="276"/>
      <c r="L129" s="276"/>
      <c r="M129" s="276"/>
      <c r="N129" s="276"/>
      <c r="O129" s="276"/>
      <c r="P129" s="276"/>
      <c r="Q129" s="276"/>
      <c r="R129" s="275"/>
      <c r="S129" s="276"/>
      <c r="T129" s="276"/>
      <c r="U129" s="276"/>
      <c r="V129" s="276"/>
      <c r="W129" s="276"/>
      <c r="X129" s="276"/>
      <c r="Y129" s="276"/>
      <c r="Z129" s="281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81"/>
      <c r="AL129" s="276"/>
      <c r="AM129" s="276"/>
      <c r="AN129" s="276"/>
      <c r="AO129" s="276"/>
      <c r="AP129" s="276"/>
      <c r="AQ129" s="276"/>
      <c r="AR129" s="276"/>
      <c r="AS129" s="281"/>
      <c r="AT129" s="276"/>
      <c r="AU129" s="276"/>
      <c r="AV129" s="276"/>
      <c r="AW129" s="276"/>
      <c r="AX129" s="276"/>
      <c r="AY129" s="276"/>
      <c r="AZ129" s="276"/>
      <c r="BA129" s="276"/>
      <c r="BB129" s="281"/>
      <c r="BC129" s="276"/>
      <c r="BD129" s="276"/>
      <c r="BE129" s="276"/>
      <c r="BF129" s="276"/>
      <c r="BG129" s="276"/>
      <c r="BH129" s="276"/>
      <c r="BI129" s="276"/>
      <c r="BJ129" s="276"/>
      <c r="BK129" s="281"/>
      <c r="BL129" s="276"/>
      <c r="BM129" s="276"/>
      <c r="BN129" s="276"/>
      <c r="BO129" s="276"/>
      <c r="BP129" s="276"/>
      <c r="BQ129" s="276"/>
    </row>
    <row r="130" spans="1:72" s="39" customFormat="1" ht="22.5" customHeight="1">
      <c r="A130" s="206"/>
      <c r="J130" s="281"/>
      <c r="K130" s="276"/>
      <c r="L130" s="276"/>
      <c r="M130" s="276"/>
      <c r="N130" s="276"/>
      <c r="O130" s="276"/>
      <c r="P130" s="276"/>
      <c r="Q130" s="276"/>
      <c r="R130" s="275"/>
      <c r="S130" s="276"/>
      <c r="T130" s="276"/>
      <c r="U130" s="276"/>
      <c r="V130" s="276"/>
      <c r="W130" s="276"/>
      <c r="X130" s="276"/>
      <c r="Y130" s="276"/>
      <c r="Z130" s="281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81"/>
      <c r="AL130" s="276"/>
      <c r="AM130" s="276"/>
      <c r="AN130" s="276"/>
      <c r="AO130" s="276"/>
      <c r="AP130" s="276"/>
      <c r="AQ130" s="276"/>
      <c r="AR130" s="276"/>
      <c r="AS130" s="281"/>
      <c r="AT130" s="276"/>
      <c r="AU130" s="276"/>
      <c r="AV130" s="276"/>
      <c r="AW130" s="276"/>
      <c r="AX130" s="276"/>
      <c r="AY130" s="276"/>
      <c r="AZ130" s="276"/>
      <c r="BA130" s="276"/>
      <c r="BB130" s="281"/>
      <c r="BC130" s="276"/>
      <c r="BD130" s="276"/>
      <c r="BE130" s="276"/>
      <c r="BF130" s="276"/>
      <c r="BG130" s="276"/>
      <c r="BH130" s="276"/>
      <c r="BI130" s="276"/>
      <c r="BJ130" s="276"/>
      <c r="BK130" s="281"/>
      <c r="BL130" s="276"/>
      <c r="BM130" s="276"/>
      <c r="BN130" s="276"/>
      <c r="BO130" s="276"/>
      <c r="BP130" s="276"/>
      <c r="BQ130" s="276"/>
    </row>
    <row r="131" spans="1:72" s="39" customFormat="1" ht="22.5" customHeight="1">
      <c r="J131" s="281"/>
      <c r="K131" s="276"/>
      <c r="L131" s="276"/>
      <c r="M131" s="276"/>
      <c r="N131" s="276"/>
      <c r="O131" s="276"/>
      <c r="P131" s="276"/>
      <c r="Q131" s="276"/>
      <c r="R131" s="275"/>
      <c r="S131" s="276"/>
      <c r="T131" s="276"/>
      <c r="U131" s="276"/>
      <c r="V131" s="276"/>
      <c r="W131" s="276"/>
      <c r="X131" s="276"/>
      <c r="Y131" s="276"/>
      <c r="Z131" s="281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81"/>
      <c r="AL131" s="276"/>
      <c r="AM131" s="276"/>
      <c r="AN131" s="276"/>
      <c r="AO131" s="276"/>
      <c r="AP131" s="276"/>
      <c r="AQ131" s="276"/>
      <c r="AR131" s="276"/>
      <c r="AS131" s="281"/>
      <c r="AT131" s="276"/>
      <c r="AU131" s="276"/>
      <c r="AV131" s="276"/>
      <c r="AW131" s="276"/>
      <c r="AX131" s="276"/>
      <c r="AY131" s="276"/>
      <c r="AZ131" s="276"/>
      <c r="BA131" s="276"/>
      <c r="BB131" s="281"/>
      <c r="BC131" s="276"/>
      <c r="BD131" s="276"/>
      <c r="BE131" s="276"/>
      <c r="BF131" s="276"/>
      <c r="BG131" s="276"/>
      <c r="BH131" s="276"/>
      <c r="BI131" s="276"/>
      <c r="BJ131" s="276"/>
      <c r="BK131" s="281"/>
      <c r="BL131" s="276"/>
      <c r="BM131" s="276"/>
      <c r="BN131" s="276"/>
      <c r="BO131" s="276"/>
      <c r="BP131" s="276"/>
      <c r="BQ131" s="276"/>
    </row>
    <row r="132" spans="1:72" s="39" customFormat="1" ht="22.5" customHeight="1">
      <c r="J132" s="281"/>
      <c r="K132" s="276"/>
      <c r="L132" s="276"/>
      <c r="M132" s="276"/>
      <c r="N132" s="276"/>
      <c r="O132" s="276"/>
      <c r="P132" s="276"/>
      <c r="Q132" s="276"/>
      <c r="R132" s="275"/>
      <c r="S132" s="276"/>
      <c r="T132" s="276"/>
      <c r="U132" s="276"/>
      <c r="V132" s="276"/>
      <c r="W132" s="276"/>
      <c r="X132" s="276"/>
      <c r="Y132" s="276"/>
      <c r="Z132" s="281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81"/>
      <c r="AL132" s="276"/>
      <c r="AM132" s="276"/>
      <c r="AN132" s="276"/>
      <c r="AO132" s="276"/>
      <c r="AP132" s="276"/>
      <c r="AQ132" s="276"/>
      <c r="AR132" s="276"/>
      <c r="AS132" s="281"/>
      <c r="AT132" s="276"/>
      <c r="AU132" s="276"/>
      <c r="AV132" s="276"/>
      <c r="AW132" s="276"/>
      <c r="AX132" s="276"/>
      <c r="AY132" s="276"/>
      <c r="AZ132" s="276"/>
      <c r="BA132" s="276"/>
      <c r="BB132" s="281"/>
      <c r="BC132" s="276"/>
      <c r="BD132" s="276"/>
      <c r="BE132" s="276"/>
      <c r="BF132" s="276"/>
      <c r="BG132" s="276"/>
      <c r="BH132" s="276"/>
      <c r="BI132" s="276"/>
      <c r="BJ132" s="276"/>
      <c r="BK132" s="281"/>
      <c r="BL132" s="276"/>
      <c r="BM132" s="276"/>
      <c r="BN132" s="276"/>
      <c r="BO132" s="276"/>
      <c r="BP132" s="276"/>
      <c r="BQ132" s="276"/>
    </row>
    <row r="133" spans="1:72" s="39" customFormat="1" ht="22.5" customHeight="1">
      <c r="J133" s="281"/>
      <c r="K133" s="276"/>
      <c r="L133" s="276"/>
      <c r="M133" s="276"/>
      <c r="N133" s="276"/>
      <c r="O133" s="276"/>
      <c r="P133" s="276"/>
      <c r="Q133" s="276"/>
      <c r="R133" s="275"/>
      <c r="S133" s="276"/>
      <c r="T133" s="276"/>
      <c r="U133" s="276"/>
      <c r="V133" s="276"/>
      <c r="W133" s="276"/>
      <c r="X133" s="276"/>
      <c r="Y133" s="276"/>
      <c r="Z133" s="281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81"/>
      <c r="AL133" s="276"/>
      <c r="AM133" s="276"/>
      <c r="AN133" s="276"/>
      <c r="AO133" s="276"/>
      <c r="AP133" s="276"/>
      <c r="AQ133" s="276"/>
      <c r="AR133" s="276"/>
      <c r="AS133" s="281"/>
      <c r="AT133" s="276"/>
      <c r="AU133" s="276"/>
      <c r="AV133" s="276"/>
      <c r="AW133" s="276"/>
      <c r="AX133" s="276"/>
      <c r="AY133" s="276"/>
      <c r="AZ133" s="276"/>
      <c r="BA133" s="276"/>
      <c r="BB133" s="281"/>
      <c r="BC133" s="276"/>
      <c r="BD133" s="276"/>
      <c r="BE133" s="276"/>
      <c r="BF133" s="276"/>
      <c r="BG133" s="276"/>
      <c r="BH133" s="276"/>
      <c r="BI133" s="276"/>
      <c r="BJ133" s="276"/>
      <c r="BK133" s="281"/>
      <c r="BL133" s="276"/>
      <c r="BM133" s="276"/>
      <c r="BN133" s="276"/>
      <c r="BO133" s="276"/>
      <c r="BP133" s="276"/>
      <c r="BQ133" s="276"/>
    </row>
    <row r="134" spans="1:72" s="39" customFormat="1" ht="22.5" customHeight="1">
      <c r="J134" s="281"/>
      <c r="K134" s="276"/>
      <c r="L134" s="276"/>
      <c r="M134" s="276"/>
      <c r="N134" s="276"/>
      <c r="O134" s="276"/>
      <c r="P134" s="276"/>
      <c r="Q134" s="276"/>
      <c r="R134" s="275"/>
      <c r="S134" s="276"/>
      <c r="T134" s="276"/>
      <c r="U134" s="276"/>
      <c r="V134" s="276"/>
      <c r="W134" s="276"/>
      <c r="X134" s="276"/>
      <c r="Y134" s="276"/>
      <c r="Z134" s="281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81"/>
      <c r="AL134" s="276"/>
      <c r="AM134" s="276"/>
      <c r="AN134" s="276"/>
      <c r="AO134" s="276"/>
      <c r="AP134" s="276"/>
      <c r="AQ134" s="276"/>
      <c r="AR134" s="276"/>
      <c r="AS134" s="281"/>
      <c r="AT134" s="276"/>
      <c r="AU134" s="276"/>
      <c r="AV134" s="276"/>
      <c r="AW134" s="276"/>
      <c r="AX134" s="276"/>
      <c r="AY134" s="276"/>
      <c r="AZ134" s="276"/>
      <c r="BA134" s="276"/>
      <c r="BB134" s="281"/>
      <c r="BC134" s="286"/>
      <c r="BD134" s="286"/>
      <c r="BE134" s="286"/>
      <c r="BF134" s="286"/>
      <c r="BG134" s="286"/>
      <c r="BH134" s="286"/>
      <c r="BI134" s="286"/>
      <c r="BJ134" s="276"/>
      <c r="BK134" s="281"/>
      <c r="BL134" s="276"/>
      <c r="BM134" s="276"/>
      <c r="BN134" s="276"/>
      <c r="BO134" s="276"/>
      <c r="BP134" s="276"/>
      <c r="BQ134" s="276"/>
    </row>
    <row r="135" spans="1:72" s="39" customFormat="1" ht="22.5" customHeight="1">
      <c r="A135" s="111"/>
      <c r="B135" s="1728"/>
      <c r="C135" s="1728"/>
      <c r="D135" s="110"/>
      <c r="E135" s="112"/>
      <c r="F135" s="110"/>
      <c r="G135" s="110"/>
      <c r="H135" s="110"/>
      <c r="I135" s="110"/>
      <c r="J135" s="281"/>
      <c r="K135" s="276"/>
      <c r="L135" s="276"/>
      <c r="M135" s="276"/>
      <c r="N135" s="276"/>
      <c r="O135" s="276"/>
      <c r="P135" s="276"/>
      <c r="Q135" s="276"/>
      <c r="R135" s="275"/>
      <c r="S135" s="276"/>
      <c r="T135" s="276"/>
      <c r="U135" s="276"/>
      <c r="V135" s="276"/>
      <c r="W135" s="276"/>
      <c r="X135" s="276"/>
      <c r="Y135" s="276"/>
      <c r="Z135" s="281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81"/>
      <c r="AL135" s="276"/>
      <c r="AM135" s="276"/>
      <c r="AN135" s="276"/>
      <c r="AO135" s="276"/>
      <c r="AP135" s="276"/>
      <c r="AQ135" s="276"/>
      <c r="AR135" s="276"/>
      <c r="AS135" s="281"/>
      <c r="AT135" s="276"/>
      <c r="AU135" s="276"/>
      <c r="AV135" s="276"/>
      <c r="AW135" s="276"/>
      <c r="AX135" s="276"/>
      <c r="AY135" s="276"/>
      <c r="AZ135" s="276"/>
      <c r="BA135" s="276"/>
      <c r="BB135" s="281"/>
      <c r="BC135" s="286"/>
      <c r="BD135" s="286"/>
      <c r="BE135" s="286"/>
      <c r="BF135" s="286"/>
      <c r="BG135" s="286"/>
      <c r="BH135" s="286"/>
      <c r="BI135" s="286"/>
      <c r="BJ135" s="276"/>
      <c r="BK135" s="281"/>
      <c r="BL135" s="276"/>
      <c r="BM135" s="276"/>
      <c r="BN135" s="276"/>
      <c r="BO135" s="276"/>
      <c r="BP135" s="276"/>
      <c r="BQ135" s="276"/>
    </row>
    <row r="136" spans="1:72" s="39" customFormat="1" ht="22.5" customHeight="1">
      <c r="A136" s="111"/>
      <c r="B136" s="1728"/>
      <c r="C136" s="1728"/>
      <c r="D136" s="110"/>
      <c r="E136" s="112"/>
      <c r="F136" s="110"/>
      <c r="G136" s="110"/>
      <c r="H136" s="110"/>
      <c r="I136" s="110"/>
      <c r="J136" s="281"/>
      <c r="K136" s="276"/>
      <c r="L136" s="276"/>
      <c r="M136" s="276"/>
      <c r="N136" s="276"/>
      <c r="O136" s="276"/>
      <c r="P136" s="276"/>
      <c r="Q136" s="276"/>
      <c r="R136" s="275"/>
      <c r="S136" s="276"/>
      <c r="T136" s="276"/>
      <c r="U136" s="276"/>
      <c r="V136" s="276"/>
      <c r="W136" s="276"/>
      <c r="X136" s="276"/>
      <c r="Y136" s="276"/>
      <c r="Z136" s="281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81"/>
      <c r="AL136" s="276"/>
      <c r="AM136" s="276"/>
      <c r="AN136" s="276"/>
      <c r="AO136" s="276"/>
      <c r="AP136" s="276"/>
      <c r="AQ136" s="276"/>
      <c r="AR136" s="276"/>
      <c r="AS136" s="281"/>
      <c r="AT136" s="276"/>
      <c r="AU136" s="276"/>
      <c r="AV136" s="276"/>
      <c r="AW136" s="276"/>
      <c r="AX136" s="276"/>
      <c r="AY136" s="276"/>
      <c r="AZ136" s="276"/>
      <c r="BA136" s="276"/>
      <c r="BB136" s="281"/>
      <c r="BC136" s="286"/>
      <c r="BD136" s="286"/>
      <c r="BE136" s="286"/>
      <c r="BF136" s="286"/>
      <c r="BG136" s="286"/>
      <c r="BH136" s="286"/>
      <c r="BI136" s="286"/>
      <c r="BJ136" s="276"/>
      <c r="BK136" s="281"/>
      <c r="BL136" s="276"/>
      <c r="BM136" s="276"/>
      <c r="BN136" s="276"/>
      <c r="BO136" s="276"/>
      <c r="BP136" s="276"/>
      <c r="BQ136" s="276"/>
    </row>
    <row r="137" spans="1:72" s="39" customFormat="1" ht="22.5" customHeight="1">
      <c r="A137" s="111"/>
      <c r="B137" s="1728"/>
      <c r="C137" s="1728"/>
      <c r="D137" s="110"/>
      <c r="E137" s="112"/>
      <c r="F137" s="110"/>
      <c r="G137" s="110"/>
      <c r="H137" s="110"/>
      <c r="I137" s="110"/>
      <c r="J137" s="281"/>
      <c r="K137" s="276"/>
      <c r="L137" s="276"/>
      <c r="M137" s="276"/>
      <c r="N137" s="276"/>
      <c r="O137" s="276"/>
      <c r="P137" s="276"/>
      <c r="Q137" s="276"/>
      <c r="R137" s="275"/>
      <c r="S137" s="276"/>
      <c r="T137" s="276"/>
      <c r="U137" s="276"/>
      <c r="V137" s="276"/>
      <c r="W137" s="276"/>
      <c r="X137" s="276"/>
      <c r="Y137" s="276"/>
      <c r="Z137" s="281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81"/>
      <c r="AL137" s="276"/>
      <c r="AM137" s="276"/>
      <c r="AN137" s="276"/>
      <c r="AO137" s="276"/>
      <c r="AP137" s="276"/>
      <c r="AQ137" s="276"/>
      <c r="AR137" s="276"/>
      <c r="AS137" s="281"/>
      <c r="AT137" s="276"/>
      <c r="AU137" s="276"/>
      <c r="AV137" s="276"/>
      <c r="AW137" s="276"/>
      <c r="AX137" s="276"/>
      <c r="AY137" s="276"/>
      <c r="AZ137" s="276"/>
      <c r="BA137" s="276"/>
      <c r="BB137" s="281"/>
      <c r="BC137" s="286"/>
      <c r="BD137" s="286"/>
      <c r="BE137" s="286"/>
      <c r="BF137" s="286"/>
      <c r="BG137" s="286"/>
      <c r="BH137" s="286"/>
      <c r="BI137" s="286"/>
      <c r="BJ137" s="276"/>
      <c r="BK137" s="281"/>
      <c r="BL137" s="276"/>
      <c r="BM137" s="276"/>
      <c r="BN137" s="276"/>
      <c r="BO137" s="276"/>
      <c r="BP137" s="276"/>
      <c r="BQ137" s="276"/>
    </row>
    <row r="138" spans="1:72" s="39" customFormat="1" ht="22.5" customHeight="1">
      <c r="A138" s="111"/>
      <c r="B138" s="1728"/>
      <c r="C138" s="1728"/>
      <c r="D138" s="110"/>
      <c r="E138" s="112"/>
      <c r="F138" s="110"/>
      <c r="G138" s="110"/>
      <c r="H138" s="110"/>
      <c r="I138" s="110"/>
      <c r="J138" s="281"/>
      <c r="K138" s="276"/>
      <c r="L138" s="276"/>
      <c r="M138" s="276"/>
      <c r="N138" s="276"/>
      <c r="O138" s="276"/>
      <c r="P138" s="276"/>
      <c r="Q138" s="276"/>
      <c r="R138" s="275"/>
      <c r="S138" s="276"/>
      <c r="T138" s="276"/>
      <c r="U138" s="276"/>
      <c r="V138" s="276"/>
      <c r="W138" s="276"/>
      <c r="X138" s="276"/>
      <c r="Y138" s="276"/>
      <c r="Z138" s="281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81"/>
      <c r="AL138" s="276"/>
      <c r="AM138" s="276"/>
      <c r="AN138" s="276"/>
      <c r="AO138" s="276"/>
      <c r="AP138" s="276"/>
      <c r="AQ138" s="276"/>
      <c r="AR138" s="276"/>
      <c r="AS138" s="281"/>
      <c r="AT138" s="276"/>
      <c r="AU138" s="276"/>
      <c r="AV138" s="276"/>
      <c r="AW138" s="276"/>
      <c r="AX138" s="276"/>
      <c r="AY138" s="276"/>
      <c r="AZ138" s="276"/>
      <c r="BA138" s="276"/>
      <c r="BB138" s="281"/>
      <c r="BC138" s="286"/>
      <c r="BD138" s="286"/>
      <c r="BE138" s="286"/>
      <c r="BF138" s="286"/>
      <c r="BG138" s="286"/>
      <c r="BH138" s="286"/>
      <c r="BI138" s="286"/>
      <c r="BJ138" s="276"/>
      <c r="BK138" s="281"/>
      <c r="BL138" s="276"/>
      <c r="BM138" s="276"/>
      <c r="BN138" s="276"/>
      <c r="BO138" s="276"/>
      <c r="BP138" s="276"/>
      <c r="BQ138" s="276"/>
    </row>
    <row r="139" spans="1:72" s="39" customFormat="1" ht="22.5" customHeight="1">
      <c r="A139" s="111"/>
      <c r="B139" s="1728"/>
      <c r="C139" s="1728"/>
      <c r="D139" s="110"/>
      <c r="E139" s="112"/>
      <c r="F139" s="110"/>
      <c r="G139" s="110"/>
      <c r="H139" s="110"/>
      <c r="I139" s="110"/>
      <c r="J139" s="281"/>
      <c r="K139" s="276"/>
      <c r="L139" s="276"/>
      <c r="M139" s="276"/>
      <c r="N139" s="276"/>
      <c r="O139" s="276"/>
      <c r="P139" s="276"/>
      <c r="Q139" s="276"/>
      <c r="R139" s="275"/>
      <c r="S139" s="276"/>
      <c r="T139" s="276"/>
      <c r="U139" s="276"/>
      <c r="V139" s="276"/>
      <c r="W139" s="276"/>
      <c r="X139" s="276"/>
      <c r="Y139" s="276"/>
      <c r="Z139" s="281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81"/>
      <c r="AL139" s="276"/>
      <c r="AM139" s="276"/>
      <c r="AN139" s="276"/>
      <c r="AO139" s="276"/>
      <c r="AP139" s="276"/>
      <c r="AQ139" s="276"/>
      <c r="AR139" s="276"/>
      <c r="AS139" s="281"/>
      <c r="AT139" s="276"/>
      <c r="AU139" s="276"/>
      <c r="AV139" s="276"/>
      <c r="AW139" s="276"/>
      <c r="AX139" s="276"/>
      <c r="AY139" s="276"/>
      <c r="AZ139" s="276"/>
      <c r="BA139" s="276"/>
      <c r="BB139" s="281"/>
      <c r="BC139" s="286"/>
      <c r="BD139" s="286"/>
      <c r="BE139" s="286"/>
      <c r="BF139" s="286"/>
      <c r="BG139" s="286"/>
      <c r="BH139" s="286"/>
      <c r="BI139" s="286"/>
      <c r="BJ139" s="286"/>
      <c r="BK139" s="287"/>
      <c r="BL139" s="276"/>
      <c r="BM139" s="276"/>
      <c r="BN139" s="276"/>
      <c r="BO139" s="276"/>
      <c r="BP139" s="276"/>
      <c r="BQ139" s="276"/>
    </row>
    <row r="140" spans="1:72" s="39" customFormat="1" ht="22.5" customHeight="1">
      <c r="A140" s="111"/>
      <c r="B140" s="1728"/>
      <c r="C140" s="1728"/>
      <c r="D140" s="110"/>
      <c r="E140" s="112"/>
      <c r="F140" s="110"/>
      <c r="G140" s="110"/>
      <c r="H140" s="110"/>
      <c r="I140" s="110"/>
      <c r="J140" s="281"/>
      <c r="K140" s="276"/>
      <c r="L140" s="276"/>
      <c r="M140" s="276"/>
      <c r="N140" s="276"/>
      <c r="O140" s="276"/>
      <c r="P140" s="276"/>
      <c r="Q140" s="276"/>
      <c r="R140" s="275"/>
      <c r="S140" s="276"/>
      <c r="T140" s="276"/>
      <c r="U140" s="276"/>
      <c r="V140" s="276"/>
      <c r="W140" s="276"/>
      <c r="X140" s="276"/>
      <c r="Y140" s="276"/>
      <c r="Z140" s="281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81"/>
      <c r="AL140" s="276"/>
      <c r="AM140" s="276"/>
      <c r="AN140" s="276"/>
      <c r="AO140" s="276"/>
      <c r="AP140" s="276"/>
      <c r="AQ140" s="276"/>
      <c r="AR140" s="276"/>
      <c r="AS140" s="281"/>
      <c r="AT140" s="276"/>
      <c r="AU140" s="276"/>
      <c r="AV140" s="276"/>
      <c r="AW140" s="276"/>
      <c r="AX140" s="276"/>
      <c r="AY140" s="276"/>
      <c r="AZ140" s="276"/>
      <c r="BA140" s="286"/>
      <c r="BB140" s="281"/>
      <c r="BC140" s="286"/>
      <c r="BD140" s="286"/>
      <c r="BE140" s="286"/>
      <c r="BF140" s="286"/>
      <c r="BG140" s="286"/>
      <c r="BH140" s="286"/>
      <c r="BI140" s="286"/>
      <c r="BJ140" s="286"/>
      <c r="BK140" s="287"/>
      <c r="BL140" s="276"/>
      <c r="BM140" s="276"/>
      <c r="BN140" s="276"/>
      <c r="BO140" s="276"/>
      <c r="BP140" s="276"/>
      <c r="BQ140" s="276"/>
    </row>
    <row r="141" spans="1:72" s="39" customFormat="1" ht="22.5" customHeight="1">
      <c r="A141" s="111"/>
      <c r="B141" s="1728"/>
      <c r="C141" s="1728"/>
      <c r="D141" s="110"/>
      <c r="E141" s="112"/>
      <c r="F141" s="110"/>
      <c r="G141" s="110"/>
      <c r="H141" s="110"/>
      <c r="I141" s="110"/>
      <c r="J141" s="281"/>
      <c r="K141" s="276"/>
      <c r="L141" s="276"/>
      <c r="M141" s="276"/>
      <c r="N141" s="276"/>
      <c r="O141" s="276"/>
      <c r="P141" s="276"/>
      <c r="Q141" s="276"/>
      <c r="R141" s="275"/>
      <c r="S141" s="276"/>
      <c r="T141" s="276"/>
      <c r="U141" s="276"/>
      <c r="V141" s="276"/>
      <c r="W141" s="276"/>
      <c r="X141" s="276"/>
      <c r="Y141" s="276"/>
      <c r="Z141" s="281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81"/>
      <c r="AL141" s="276"/>
      <c r="AM141" s="276"/>
      <c r="AN141" s="276"/>
      <c r="AO141" s="276"/>
      <c r="AP141" s="276"/>
      <c r="AQ141" s="276"/>
      <c r="AR141" s="276"/>
      <c r="AS141" s="281"/>
      <c r="AT141" s="276"/>
      <c r="AU141" s="276"/>
      <c r="AV141" s="276"/>
      <c r="AW141" s="276"/>
      <c r="AX141" s="276"/>
      <c r="AY141" s="276"/>
      <c r="AZ141" s="276"/>
      <c r="BA141" s="286"/>
      <c r="BB141" s="287"/>
      <c r="BC141" s="286"/>
      <c r="BD141" s="286"/>
      <c r="BE141" s="286"/>
      <c r="BF141" s="286"/>
      <c r="BG141" s="286"/>
      <c r="BH141" s="286"/>
      <c r="BI141" s="286"/>
      <c r="BJ141" s="286"/>
      <c r="BK141" s="287"/>
      <c r="BL141" s="276"/>
      <c r="BM141" s="276"/>
      <c r="BN141" s="276"/>
      <c r="BO141" s="276"/>
      <c r="BP141" s="276"/>
      <c r="BQ141" s="276"/>
      <c r="BR141" s="85"/>
      <c r="BS141" s="85"/>
      <c r="BT141" s="85"/>
    </row>
    <row r="142" spans="1:72" s="39" customFormat="1" ht="22.5" customHeight="1">
      <c r="A142" s="111"/>
      <c r="B142" s="1728"/>
      <c r="C142" s="1728"/>
      <c r="D142" s="110"/>
      <c r="E142" s="112"/>
      <c r="F142" s="110"/>
      <c r="G142" s="110"/>
      <c r="H142" s="110"/>
      <c r="I142" s="110"/>
      <c r="J142" s="281"/>
      <c r="K142" s="276"/>
      <c r="L142" s="276"/>
      <c r="M142" s="276"/>
      <c r="N142" s="276"/>
      <c r="O142" s="276"/>
      <c r="P142" s="276"/>
      <c r="Q142" s="276"/>
      <c r="R142" s="275"/>
      <c r="S142" s="276"/>
      <c r="T142" s="276"/>
      <c r="U142" s="276"/>
      <c r="V142" s="276"/>
      <c r="W142" s="276"/>
      <c r="X142" s="276"/>
      <c r="Y142" s="276"/>
      <c r="Z142" s="281"/>
      <c r="AA142" s="276"/>
      <c r="AB142" s="276"/>
      <c r="AC142" s="276"/>
      <c r="AD142" s="276"/>
      <c r="AE142" s="276"/>
      <c r="AF142" s="276"/>
      <c r="AG142" s="276"/>
      <c r="AH142" s="276"/>
      <c r="AI142" s="276"/>
      <c r="AJ142" s="276"/>
      <c r="AK142" s="281"/>
      <c r="AL142" s="276"/>
      <c r="AM142" s="276"/>
      <c r="AN142" s="276"/>
      <c r="AO142" s="276"/>
      <c r="AP142" s="276"/>
      <c r="AQ142" s="276"/>
      <c r="AR142" s="276"/>
      <c r="AS142" s="281"/>
      <c r="AT142" s="286"/>
      <c r="AU142" s="286"/>
      <c r="AV142" s="286"/>
      <c r="AW142" s="286"/>
      <c r="AX142" s="286"/>
      <c r="AY142" s="286"/>
      <c r="AZ142" s="286"/>
      <c r="BA142" s="286"/>
      <c r="BB142" s="287"/>
      <c r="BC142" s="286"/>
      <c r="BD142" s="286"/>
      <c r="BE142" s="286"/>
      <c r="BF142" s="286"/>
      <c r="BG142" s="286"/>
      <c r="BH142" s="286"/>
      <c r="BI142" s="286"/>
      <c r="BJ142" s="286"/>
      <c r="BK142" s="287"/>
      <c r="BL142" s="276"/>
      <c r="BM142" s="276"/>
      <c r="BN142" s="276"/>
      <c r="BO142" s="276"/>
      <c r="BP142" s="276"/>
      <c r="BQ142" s="276"/>
      <c r="BR142" s="85"/>
      <c r="BS142" s="85"/>
      <c r="BT142" s="85"/>
    </row>
    <row r="143" spans="1:72" s="39" customFormat="1" ht="22.5" customHeight="1">
      <c r="A143" s="111"/>
      <c r="B143" s="1728"/>
      <c r="C143" s="1728"/>
      <c r="D143" s="110"/>
      <c r="E143" s="112"/>
      <c r="F143" s="110"/>
      <c r="G143" s="110"/>
      <c r="H143" s="110"/>
      <c r="I143" s="110"/>
      <c r="J143" s="281"/>
      <c r="K143" s="276"/>
      <c r="L143" s="276"/>
      <c r="M143" s="276"/>
      <c r="N143" s="276"/>
      <c r="O143" s="276"/>
      <c r="P143" s="276"/>
      <c r="Q143" s="276"/>
      <c r="R143" s="275"/>
      <c r="S143" s="276"/>
      <c r="T143" s="276"/>
      <c r="U143" s="276"/>
      <c r="V143" s="276"/>
      <c r="W143" s="276"/>
      <c r="X143" s="276"/>
      <c r="Y143" s="276"/>
      <c r="Z143" s="281"/>
      <c r="AA143" s="276"/>
      <c r="AB143" s="276"/>
      <c r="AC143" s="276"/>
      <c r="AD143" s="276"/>
      <c r="AE143" s="276"/>
      <c r="AF143" s="276"/>
      <c r="AG143" s="276"/>
      <c r="AH143" s="276"/>
      <c r="AI143" s="276"/>
      <c r="AJ143" s="276"/>
      <c r="AK143" s="281"/>
      <c r="AL143" s="276"/>
      <c r="AM143" s="276"/>
      <c r="AN143" s="276"/>
      <c r="AO143" s="276"/>
      <c r="AP143" s="276"/>
      <c r="AQ143" s="276"/>
      <c r="AR143" s="276"/>
      <c r="AS143" s="281"/>
      <c r="AT143" s="286"/>
      <c r="AU143" s="286"/>
      <c r="AV143" s="286"/>
      <c r="AW143" s="286"/>
      <c r="AX143" s="286"/>
      <c r="AY143" s="286"/>
      <c r="AZ143" s="286"/>
      <c r="BA143" s="286"/>
      <c r="BB143" s="287"/>
      <c r="BC143" s="286"/>
      <c r="BD143" s="286"/>
      <c r="BE143" s="286"/>
      <c r="BF143" s="286"/>
      <c r="BG143" s="286"/>
      <c r="BH143" s="286"/>
      <c r="BI143" s="286"/>
      <c r="BJ143" s="286"/>
      <c r="BK143" s="287"/>
      <c r="BL143" s="276"/>
      <c r="BM143" s="276"/>
      <c r="BN143" s="276"/>
      <c r="BO143" s="276"/>
      <c r="BP143" s="276"/>
      <c r="BQ143" s="276"/>
      <c r="BR143" s="85"/>
      <c r="BS143" s="85"/>
      <c r="BT143" s="85"/>
    </row>
    <row r="144" spans="1:72" s="85" customFormat="1" ht="22.5" customHeight="1">
      <c r="A144" s="161"/>
      <c r="B144" s="1728"/>
      <c r="C144" s="157"/>
      <c r="D144" s="159"/>
      <c r="E144" s="160"/>
      <c r="F144" s="159"/>
      <c r="G144" s="159"/>
      <c r="H144" s="110"/>
      <c r="I144" s="159"/>
      <c r="J144" s="287"/>
      <c r="K144" s="286"/>
      <c r="L144" s="286"/>
      <c r="M144" s="286"/>
      <c r="N144" s="286"/>
      <c r="O144" s="286"/>
      <c r="P144" s="286"/>
      <c r="Q144" s="286"/>
      <c r="R144" s="275"/>
      <c r="S144" s="286"/>
      <c r="T144" s="286"/>
      <c r="U144" s="286"/>
      <c r="V144" s="286"/>
      <c r="W144" s="276"/>
      <c r="X144" s="286"/>
      <c r="Y144" s="286"/>
      <c r="Z144" s="287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7"/>
      <c r="AL144" s="286"/>
      <c r="AM144" s="286"/>
      <c r="AN144" s="286"/>
      <c r="AO144" s="286"/>
      <c r="AP144" s="286"/>
      <c r="AQ144" s="286"/>
      <c r="AR144" s="286"/>
      <c r="AS144" s="287"/>
      <c r="AT144" s="286"/>
      <c r="AU144" s="286"/>
      <c r="AV144" s="286"/>
      <c r="AW144" s="286"/>
      <c r="AX144" s="286"/>
      <c r="AY144" s="286"/>
      <c r="AZ144" s="286"/>
      <c r="BA144" s="286"/>
      <c r="BB144" s="287"/>
      <c r="BC144" s="286"/>
      <c r="BD144" s="286"/>
      <c r="BE144" s="286"/>
      <c r="BF144" s="286"/>
      <c r="BG144" s="286"/>
      <c r="BH144" s="286"/>
      <c r="BI144" s="286"/>
      <c r="BJ144" s="286"/>
      <c r="BK144" s="287"/>
      <c r="BL144" s="276"/>
      <c r="BM144" s="276"/>
      <c r="BN144" s="276"/>
      <c r="BO144" s="276"/>
      <c r="BP144" s="276"/>
      <c r="BQ144" s="276"/>
    </row>
    <row r="145" spans="1:72" s="85" customFormat="1" ht="22.5" customHeight="1">
      <c r="A145" s="161"/>
      <c r="B145" s="1728"/>
      <c r="C145" s="157"/>
      <c r="D145" s="159"/>
      <c r="E145" s="160"/>
      <c r="F145" s="159"/>
      <c r="G145" s="159"/>
      <c r="H145" s="110"/>
      <c r="I145" s="159"/>
      <c r="J145" s="287"/>
      <c r="K145" s="286"/>
      <c r="L145" s="286"/>
      <c r="M145" s="286"/>
      <c r="N145" s="286"/>
      <c r="O145" s="286"/>
      <c r="P145" s="286"/>
      <c r="Q145" s="286"/>
      <c r="R145" s="275"/>
      <c r="S145" s="286"/>
      <c r="T145" s="286"/>
      <c r="U145" s="286"/>
      <c r="V145" s="286"/>
      <c r="W145" s="276"/>
      <c r="X145" s="286"/>
      <c r="Y145" s="286"/>
      <c r="Z145" s="287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7"/>
      <c r="AL145" s="286"/>
      <c r="AM145" s="286"/>
      <c r="AN145" s="286"/>
      <c r="AO145" s="286"/>
      <c r="AP145" s="286"/>
      <c r="AQ145" s="286"/>
      <c r="AR145" s="286"/>
      <c r="AS145" s="287"/>
      <c r="AT145" s="286"/>
      <c r="AU145" s="286"/>
      <c r="AV145" s="286"/>
      <c r="AW145" s="286"/>
      <c r="AX145" s="286"/>
      <c r="AY145" s="286"/>
      <c r="AZ145" s="286"/>
      <c r="BA145" s="286"/>
      <c r="BB145" s="287"/>
      <c r="BC145" s="288"/>
      <c r="BD145" s="288"/>
      <c r="BE145" s="288"/>
      <c r="BF145" s="288"/>
      <c r="BG145" s="288"/>
      <c r="BH145" s="288"/>
      <c r="BI145" s="288"/>
      <c r="BJ145" s="286"/>
      <c r="BK145" s="287"/>
      <c r="BL145" s="286"/>
      <c r="BM145" s="286"/>
      <c r="BN145" s="286"/>
      <c r="BO145" s="286"/>
      <c r="BP145" s="286"/>
      <c r="BQ145" s="286"/>
    </row>
    <row r="146" spans="1:72" s="85" customFormat="1" ht="22.5" customHeight="1">
      <c r="A146" s="161"/>
      <c r="B146" s="1728"/>
      <c r="C146" s="157"/>
      <c r="D146" s="159"/>
      <c r="E146" s="160"/>
      <c r="F146" s="159"/>
      <c r="G146" s="159"/>
      <c r="H146" s="110"/>
      <c r="I146" s="159"/>
      <c r="J146" s="287"/>
      <c r="K146" s="286"/>
      <c r="L146" s="286"/>
      <c r="M146" s="286"/>
      <c r="N146" s="286"/>
      <c r="O146" s="286"/>
      <c r="P146" s="286"/>
      <c r="Q146" s="286"/>
      <c r="R146" s="275"/>
      <c r="S146" s="286"/>
      <c r="T146" s="286"/>
      <c r="U146" s="286"/>
      <c r="V146" s="286"/>
      <c r="W146" s="276"/>
      <c r="X146" s="286"/>
      <c r="Y146" s="286"/>
      <c r="Z146" s="287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7"/>
      <c r="AL146" s="286"/>
      <c r="AM146" s="286"/>
      <c r="AN146" s="286"/>
      <c r="AO146" s="286"/>
      <c r="AP146" s="286"/>
      <c r="AQ146" s="286"/>
      <c r="AR146" s="286"/>
      <c r="AS146" s="287"/>
      <c r="AT146" s="286"/>
      <c r="AU146" s="286"/>
      <c r="AV146" s="286"/>
      <c r="AW146" s="286"/>
      <c r="AX146" s="286"/>
      <c r="AY146" s="286"/>
      <c r="AZ146" s="286"/>
      <c r="BA146" s="286"/>
      <c r="BB146" s="287"/>
      <c r="BC146" s="286"/>
      <c r="BD146" s="286"/>
      <c r="BE146" s="286"/>
      <c r="BF146" s="286"/>
      <c r="BG146" s="286"/>
      <c r="BH146" s="286"/>
      <c r="BI146" s="286"/>
      <c r="BJ146" s="286"/>
      <c r="BK146" s="287"/>
      <c r="BL146" s="286"/>
      <c r="BM146" s="286"/>
      <c r="BN146" s="286"/>
      <c r="BO146" s="286"/>
      <c r="BP146" s="286"/>
      <c r="BQ146" s="286"/>
    </row>
    <row r="147" spans="1:72" s="85" customFormat="1" ht="22.5" customHeight="1">
      <c r="A147" s="161"/>
      <c r="B147" s="1728"/>
      <c r="C147" s="157"/>
      <c r="D147" s="159"/>
      <c r="E147" s="160"/>
      <c r="F147" s="159"/>
      <c r="G147" s="159"/>
      <c r="H147" s="110"/>
      <c r="I147" s="159"/>
      <c r="J147" s="287"/>
      <c r="K147" s="286"/>
      <c r="L147" s="286"/>
      <c r="M147" s="286"/>
      <c r="N147" s="286"/>
      <c r="O147" s="286"/>
      <c r="P147" s="286"/>
      <c r="Q147" s="286"/>
      <c r="R147" s="275"/>
      <c r="S147" s="286"/>
      <c r="T147" s="286"/>
      <c r="U147" s="286"/>
      <c r="V147" s="286"/>
      <c r="W147" s="276"/>
      <c r="X147" s="286"/>
      <c r="Y147" s="286"/>
      <c r="Z147" s="287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7"/>
      <c r="AL147" s="286"/>
      <c r="AM147" s="286"/>
      <c r="AN147" s="286"/>
      <c r="AO147" s="286"/>
      <c r="AP147" s="286"/>
      <c r="AQ147" s="286"/>
      <c r="AR147" s="286"/>
      <c r="AS147" s="287"/>
      <c r="AT147" s="286"/>
      <c r="AU147" s="286"/>
      <c r="AV147" s="286"/>
      <c r="AW147" s="286"/>
      <c r="AX147" s="286"/>
      <c r="AY147" s="286"/>
      <c r="AZ147" s="286"/>
      <c r="BA147" s="286"/>
      <c r="BB147" s="287"/>
      <c r="BC147" s="288"/>
      <c r="BD147" s="288"/>
      <c r="BE147" s="288"/>
      <c r="BF147" s="288"/>
      <c r="BG147" s="288"/>
      <c r="BH147" s="288"/>
      <c r="BI147" s="288"/>
      <c r="BJ147" s="286"/>
      <c r="BK147" s="287"/>
      <c r="BL147" s="286"/>
      <c r="BM147" s="286"/>
      <c r="BN147" s="286"/>
      <c r="BO147" s="286"/>
      <c r="BP147" s="286"/>
      <c r="BQ147" s="286"/>
    </row>
    <row r="148" spans="1:72" s="85" customFormat="1" ht="22.5" customHeight="1">
      <c r="A148" s="161"/>
      <c r="B148" s="1728"/>
      <c r="C148" s="157"/>
      <c r="D148" s="159"/>
      <c r="E148" s="160"/>
      <c r="F148" s="159"/>
      <c r="G148" s="159"/>
      <c r="H148" s="110"/>
      <c r="I148" s="159"/>
      <c r="J148" s="287"/>
      <c r="K148" s="286"/>
      <c r="L148" s="286"/>
      <c r="M148" s="286"/>
      <c r="N148" s="286"/>
      <c r="O148" s="286"/>
      <c r="P148" s="286"/>
      <c r="Q148" s="286"/>
      <c r="R148" s="275"/>
      <c r="S148" s="286"/>
      <c r="T148" s="286"/>
      <c r="U148" s="286"/>
      <c r="V148" s="286"/>
      <c r="W148" s="276"/>
      <c r="X148" s="286"/>
      <c r="Y148" s="286"/>
      <c r="Z148" s="287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7"/>
      <c r="AL148" s="286"/>
      <c r="AM148" s="286"/>
      <c r="AN148" s="286"/>
      <c r="AO148" s="286"/>
      <c r="AP148" s="286"/>
      <c r="AQ148" s="286"/>
      <c r="AR148" s="286"/>
      <c r="AS148" s="287"/>
      <c r="AT148" s="286"/>
      <c r="AU148" s="286"/>
      <c r="AV148" s="286"/>
      <c r="AW148" s="286"/>
      <c r="AX148" s="286"/>
      <c r="AY148" s="286"/>
      <c r="AZ148" s="286"/>
      <c r="BA148" s="286"/>
      <c r="BB148" s="287"/>
      <c r="BC148" s="286"/>
      <c r="BD148" s="286"/>
      <c r="BE148" s="286"/>
      <c r="BF148" s="286"/>
      <c r="BG148" s="286"/>
      <c r="BH148" s="286"/>
      <c r="BI148" s="286"/>
      <c r="BJ148" s="286"/>
      <c r="BK148" s="287"/>
      <c r="BL148" s="286"/>
      <c r="BM148" s="286"/>
      <c r="BN148" s="286"/>
      <c r="BO148" s="286"/>
      <c r="BP148" s="286"/>
      <c r="BQ148" s="286"/>
    </row>
    <row r="149" spans="1:72" s="85" customFormat="1" ht="22.5" customHeight="1">
      <c r="A149" s="161"/>
      <c r="B149" s="39"/>
      <c r="H149" s="39"/>
      <c r="J149" s="287"/>
      <c r="K149" s="286"/>
      <c r="L149" s="286"/>
      <c r="M149" s="286"/>
      <c r="N149" s="286"/>
      <c r="O149" s="286"/>
      <c r="P149" s="286"/>
      <c r="Q149" s="286"/>
      <c r="R149" s="275"/>
      <c r="S149" s="286"/>
      <c r="T149" s="286"/>
      <c r="U149" s="286"/>
      <c r="V149" s="286"/>
      <c r="W149" s="276"/>
      <c r="X149" s="286"/>
      <c r="Y149" s="286"/>
      <c r="Z149" s="287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7"/>
      <c r="AL149" s="286"/>
      <c r="AM149" s="286"/>
      <c r="AN149" s="286"/>
      <c r="AO149" s="286"/>
      <c r="AP149" s="286"/>
      <c r="AQ149" s="286"/>
      <c r="AR149" s="286"/>
      <c r="AS149" s="287"/>
      <c r="AT149" s="286"/>
      <c r="AU149" s="286"/>
      <c r="AV149" s="286"/>
      <c r="AW149" s="286"/>
      <c r="AX149" s="286"/>
      <c r="AY149" s="286"/>
      <c r="AZ149" s="286"/>
      <c r="BA149" s="286"/>
      <c r="BB149" s="287"/>
      <c r="BC149" s="286"/>
      <c r="BD149" s="286"/>
      <c r="BE149" s="286"/>
      <c r="BF149" s="286"/>
      <c r="BG149" s="286"/>
      <c r="BH149" s="286"/>
      <c r="BI149" s="286"/>
      <c r="BJ149" s="286"/>
      <c r="BK149" s="287"/>
      <c r="BL149" s="286"/>
      <c r="BM149" s="286"/>
      <c r="BN149" s="286"/>
      <c r="BO149" s="286"/>
      <c r="BP149" s="286"/>
      <c r="BQ149" s="286"/>
    </row>
    <row r="150" spans="1:72" s="85" customFormat="1" ht="22.5" customHeight="1">
      <c r="B150" s="39"/>
      <c r="H150" s="39"/>
      <c r="J150" s="287"/>
      <c r="K150" s="286"/>
      <c r="L150" s="286"/>
      <c r="M150" s="286"/>
      <c r="N150" s="286"/>
      <c r="O150" s="286"/>
      <c r="P150" s="286"/>
      <c r="Q150" s="286"/>
      <c r="R150" s="275"/>
      <c r="S150" s="286"/>
      <c r="T150" s="286"/>
      <c r="U150" s="286"/>
      <c r="V150" s="286"/>
      <c r="W150" s="276"/>
      <c r="X150" s="286"/>
      <c r="Y150" s="286"/>
      <c r="Z150" s="287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7"/>
      <c r="AL150" s="286"/>
      <c r="AM150" s="286"/>
      <c r="AN150" s="286"/>
      <c r="AO150" s="286"/>
      <c r="AP150" s="286"/>
      <c r="AQ150" s="286"/>
      <c r="AR150" s="286"/>
      <c r="AS150" s="287"/>
      <c r="AT150" s="286"/>
      <c r="AU150" s="286"/>
      <c r="AV150" s="286"/>
      <c r="AW150" s="286"/>
      <c r="AX150" s="286"/>
      <c r="AY150" s="286"/>
      <c r="AZ150" s="286"/>
      <c r="BA150" s="286"/>
      <c r="BB150" s="287"/>
      <c r="BC150" s="286"/>
      <c r="BD150" s="286"/>
      <c r="BE150" s="286"/>
      <c r="BF150" s="286"/>
      <c r="BG150" s="286"/>
      <c r="BH150" s="286"/>
      <c r="BI150" s="286"/>
      <c r="BJ150" s="288"/>
      <c r="BK150" s="289"/>
      <c r="BL150" s="286"/>
      <c r="BM150" s="286"/>
      <c r="BN150" s="286"/>
      <c r="BO150" s="286"/>
      <c r="BP150" s="286"/>
      <c r="BQ150" s="286"/>
    </row>
    <row r="151" spans="1:72" s="85" customFormat="1" ht="22.5" customHeight="1">
      <c r="A151" s="161"/>
      <c r="B151" s="39"/>
      <c r="H151" s="39"/>
      <c r="J151" s="287"/>
      <c r="K151" s="286"/>
      <c r="L151" s="286"/>
      <c r="M151" s="286"/>
      <c r="N151" s="286"/>
      <c r="O151" s="286"/>
      <c r="P151" s="286"/>
      <c r="Q151" s="286"/>
      <c r="R151" s="275"/>
      <c r="S151" s="286"/>
      <c r="T151" s="286"/>
      <c r="U151" s="286"/>
      <c r="V151" s="286"/>
      <c r="W151" s="276"/>
      <c r="X151" s="286"/>
      <c r="Y151" s="286"/>
      <c r="Z151" s="287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7"/>
      <c r="AL151" s="286"/>
      <c r="AM151" s="286"/>
      <c r="AN151" s="286"/>
      <c r="AO151" s="286"/>
      <c r="AP151" s="286"/>
      <c r="AQ151" s="286"/>
      <c r="AR151" s="286"/>
      <c r="AS151" s="287"/>
      <c r="AT151" s="286"/>
      <c r="AU151" s="286"/>
      <c r="AV151" s="286"/>
      <c r="AW151" s="286"/>
      <c r="AX151" s="286"/>
      <c r="AY151" s="286"/>
      <c r="AZ151" s="286"/>
      <c r="BA151" s="288"/>
      <c r="BB151" s="287"/>
      <c r="BC151" s="286"/>
      <c r="BD151" s="286"/>
      <c r="BE151" s="286"/>
      <c r="BF151" s="286"/>
      <c r="BG151" s="286"/>
      <c r="BH151" s="286"/>
      <c r="BI151" s="286"/>
      <c r="BJ151" s="286"/>
      <c r="BK151" s="287"/>
      <c r="BL151" s="286"/>
      <c r="BM151" s="286"/>
      <c r="BN151" s="286"/>
      <c r="BO151" s="286"/>
      <c r="BP151" s="286"/>
      <c r="BQ151" s="286"/>
    </row>
    <row r="152" spans="1:72" s="85" customFormat="1" ht="22.5" customHeight="1">
      <c r="A152" s="161"/>
      <c r="B152" s="39"/>
      <c r="H152" s="39"/>
      <c r="J152" s="287"/>
      <c r="K152" s="286"/>
      <c r="L152" s="286"/>
      <c r="M152" s="286"/>
      <c r="N152" s="286"/>
      <c r="O152" s="286"/>
      <c r="P152" s="286"/>
      <c r="Q152" s="286"/>
      <c r="R152" s="275"/>
      <c r="S152" s="286"/>
      <c r="T152" s="286"/>
      <c r="U152" s="286"/>
      <c r="V152" s="286"/>
      <c r="W152" s="276"/>
      <c r="X152" s="286"/>
      <c r="Y152" s="286"/>
      <c r="Z152" s="287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7"/>
      <c r="AL152" s="286"/>
      <c r="AM152" s="286"/>
      <c r="AN152" s="286"/>
      <c r="AO152" s="286"/>
      <c r="AP152" s="286"/>
      <c r="AQ152" s="286"/>
      <c r="AR152" s="286"/>
      <c r="AS152" s="287"/>
      <c r="AT152" s="286"/>
      <c r="AU152" s="286"/>
      <c r="AV152" s="286"/>
      <c r="AW152" s="286"/>
      <c r="AX152" s="286"/>
      <c r="AY152" s="286"/>
      <c r="AZ152" s="286"/>
      <c r="BA152" s="286"/>
      <c r="BB152" s="289"/>
      <c r="BC152" s="170"/>
      <c r="BD152" s="170"/>
      <c r="BE152" s="170"/>
      <c r="BF152" s="170"/>
      <c r="BG152" s="170"/>
      <c r="BH152" s="170"/>
      <c r="BI152" s="170"/>
      <c r="BJ152" s="288"/>
      <c r="BK152" s="289"/>
      <c r="BL152" s="286"/>
      <c r="BM152" s="286"/>
      <c r="BN152" s="286"/>
      <c r="BO152" s="286"/>
      <c r="BP152" s="286"/>
      <c r="BQ152" s="286"/>
      <c r="BR152" s="162"/>
      <c r="BS152" s="162"/>
      <c r="BT152" s="162"/>
    </row>
    <row r="153" spans="1:72" s="85" customFormat="1" ht="22.5" customHeight="1">
      <c r="A153" s="162"/>
      <c r="B153" s="39"/>
      <c r="H153" s="39"/>
      <c r="J153" s="287"/>
      <c r="K153" s="286"/>
      <c r="L153" s="286"/>
      <c r="M153" s="286"/>
      <c r="N153" s="286"/>
      <c r="O153" s="286"/>
      <c r="P153" s="286"/>
      <c r="Q153" s="286"/>
      <c r="R153" s="275"/>
      <c r="S153" s="286"/>
      <c r="T153" s="286"/>
      <c r="U153" s="286"/>
      <c r="V153" s="286"/>
      <c r="W153" s="276"/>
      <c r="X153" s="286"/>
      <c r="Y153" s="286"/>
      <c r="Z153" s="287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7"/>
      <c r="AL153" s="286"/>
      <c r="AM153" s="286"/>
      <c r="AN153" s="286"/>
      <c r="AO153" s="286"/>
      <c r="AP153" s="286"/>
      <c r="AQ153" s="286"/>
      <c r="AR153" s="286"/>
      <c r="AS153" s="287"/>
      <c r="AT153" s="288"/>
      <c r="AU153" s="288"/>
      <c r="AV153" s="288"/>
      <c r="AW153" s="288"/>
      <c r="AX153" s="288"/>
      <c r="AY153" s="288"/>
      <c r="AZ153" s="288"/>
      <c r="BA153" s="288"/>
      <c r="BB153" s="287"/>
      <c r="BC153" s="170"/>
      <c r="BD153" s="170"/>
      <c r="BE153" s="170"/>
      <c r="BF153" s="170"/>
      <c r="BG153" s="170"/>
      <c r="BH153" s="170"/>
      <c r="BI153" s="170"/>
      <c r="BJ153" s="286"/>
      <c r="BK153" s="287"/>
      <c r="BL153" s="286"/>
      <c r="BM153" s="286"/>
      <c r="BN153" s="286"/>
      <c r="BO153" s="286"/>
      <c r="BP153" s="286"/>
      <c r="BQ153" s="286"/>
    </row>
    <row r="154" spans="1:72" s="85" customFormat="1" ht="22.5" customHeight="1">
      <c r="A154" s="162"/>
      <c r="B154" s="39"/>
      <c r="H154" s="39"/>
      <c r="J154" s="287"/>
      <c r="K154" s="286"/>
      <c r="L154" s="286"/>
      <c r="M154" s="286"/>
      <c r="N154" s="286"/>
      <c r="O154" s="286"/>
      <c r="P154" s="286"/>
      <c r="Q154" s="286"/>
      <c r="R154" s="275"/>
      <c r="S154" s="286"/>
      <c r="T154" s="286"/>
      <c r="U154" s="286"/>
      <c r="V154" s="286"/>
      <c r="W154" s="276"/>
      <c r="X154" s="286"/>
      <c r="Y154" s="286"/>
      <c r="Z154" s="287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7"/>
      <c r="AL154" s="286"/>
      <c r="AM154" s="286"/>
      <c r="AN154" s="286"/>
      <c r="AO154" s="286"/>
      <c r="AP154" s="286"/>
      <c r="AQ154" s="286"/>
      <c r="AR154" s="286"/>
      <c r="AS154" s="287"/>
      <c r="AT154" s="286"/>
      <c r="AU154" s="286"/>
      <c r="AV154" s="286"/>
      <c r="AW154" s="286"/>
      <c r="AX154" s="286"/>
      <c r="AY154" s="286"/>
      <c r="AZ154" s="286"/>
      <c r="BA154" s="286"/>
      <c r="BB154" s="289"/>
      <c r="BC154" s="170"/>
      <c r="BD154" s="170"/>
      <c r="BE154" s="170"/>
      <c r="BF154" s="170"/>
      <c r="BG154" s="170"/>
      <c r="BH154" s="170"/>
      <c r="BI154" s="170"/>
      <c r="BJ154" s="286"/>
      <c r="BK154" s="287"/>
      <c r="BL154" s="286"/>
      <c r="BM154" s="286"/>
      <c r="BN154" s="286"/>
      <c r="BO154" s="286"/>
      <c r="BP154" s="286"/>
      <c r="BQ154" s="286"/>
      <c r="BR154" s="162"/>
      <c r="BS154" s="162"/>
      <c r="BT154" s="162"/>
    </row>
    <row r="155" spans="1:72" s="162" customFormat="1" ht="22.5" customHeight="1">
      <c r="B155" s="43"/>
      <c r="H155" s="43"/>
      <c r="J155" s="289"/>
      <c r="K155" s="288"/>
      <c r="L155" s="288"/>
      <c r="M155" s="288"/>
      <c r="N155" s="288"/>
      <c r="O155" s="288"/>
      <c r="P155" s="288"/>
      <c r="Q155" s="288"/>
      <c r="R155" s="274"/>
      <c r="S155" s="288"/>
      <c r="T155" s="288"/>
      <c r="U155" s="288"/>
      <c r="V155" s="288"/>
      <c r="W155" s="290"/>
      <c r="X155" s="288"/>
      <c r="Y155" s="288"/>
      <c r="Z155" s="289"/>
      <c r="AA155" s="288"/>
      <c r="AB155" s="288"/>
      <c r="AC155" s="288"/>
      <c r="AD155" s="288"/>
      <c r="AE155" s="288"/>
      <c r="AF155" s="288"/>
      <c r="AG155" s="288"/>
      <c r="AH155" s="288"/>
      <c r="AI155" s="288"/>
      <c r="AJ155" s="288"/>
      <c r="AK155" s="289"/>
      <c r="AL155" s="288"/>
      <c r="AM155" s="288"/>
      <c r="AN155" s="288"/>
      <c r="AO155" s="288"/>
      <c r="AP155" s="288"/>
      <c r="AQ155" s="288"/>
      <c r="AR155" s="288"/>
      <c r="AS155" s="289"/>
      <c r="AT155" s="288"/>
      <c r="AU155" s="288"/>
      <c r="AV155" s="288"/>
      <c r="AW155" s="288"/>
      <c r="AX155" s="288"/>
      <c r="AY155" s="288"/>
      <c r="AZ155" s="288"/>
      <c r="BA155" s="286"/>
      <c r="BB155" s="287"/>
      <c r="BC155" s="170"/>
      <c r="BD155" s="170"/>
      <c r="BE155" s="170"/>
      <c r="BF155" s="170"/>
      <c r="BG155" s="170"/>
      <c r="BH155" s="170"/>
      <c r="BI155" s="170"/>
      <c r="BJ155" s="286"/>
      <c r="BK155" s="287"/>
      <c r="BL155" s="286"/>
      <c r="BM155" s="286"/>
      <c r="BN155" s="286"/>
      <c r="BO155" s="286"/>
      <c r="BP155" s="286"/>
      <c r="BQ155" s="286"/>
      <c r="BR155" s="85"/>
      <c r="BS155" s="85"/>
      <c r="BT155" s="85"/>
    </row>
    <row r="156" spans="1:72" s="85" customFormat="1" ht="22.5" customHeight="1">
      <c r="B156" s="39"/>
      <c r="H156" s="39"/>
      <c r="J156" s="287"/>
      <c r="K156" s="286"/>
      <c r="L156" s="286"/>
      <c r="M156" s="286"/>
      <c r="N156" s="286"/>
      <c r="O156" s="286"/>
      <c r="P156" s="286"/>
      <c r="Q156" s="286"/>
      <c r="R156" s="275"/>
      <c r="S156" s="286"/>
      <c r="T156" s="286"/>
      <c r="U156" s="286"/>
      <c r="V156" s="286"/>
      <c r="W156" s="276"/>
      <c r="X156" s="286"/>
      <c r="Y156" s="286"/>
      <c r="Z156" s="287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7"/>
      <c r="AL156" s="286"/>
      <c r="AM156" s="286"/>
      <c r="AN156" s="286"/>
      <c r="AO156" s="286"/>
      <c r="AP156" s="286"/>
      <c r="AQ156" s="286"/>
      <c r="AR156" s="286"/>
      <c r="AS156" s="287"/>
      <c r="AT156" s="286"/>
      <c r="AU156" s="286"/>
      <c r="AV156" s="286"/>
      <c r="AW156" s="286"/>
      <c r="AX156" s="286"/>
      <c r="AY156" s="286"/>
      <c r="AZ156" s="286"/>
      <c r="BA156" s="286"/>
      <c r="BB156" s="287"/>
      <c r="BC156" s="230"/>
      <c r="BD156" s="230"/>
      <c r="BE156" s="230"/>
      <c r="BF156" s="230"/>
      <c r="BG156" s="230"/>
      <c r="BH156" s="230"/>
      <c r="BI156" s="230"/>
      <c r="BJ156" s="286"/>
      <c r="BK156" s="287"/>
      <c r="BL156" s="288"/>
      <c r="BM156" s="288"/>
      <c r="BN156" s="288"/>
      <c r="BO156" s="288"/>
      <c r="BP156" s="288"/>
      <c r="BQ156" s="288"/>
    </row>
    <row r="157" spans="1:72" s="162" customFormat="1" ht="22.5" customHeight="1">
      <c r="B157" s="43"/>
      <c r="H157" s="43"/>
      <c r="J157" s="289"/>
      <c r="K157" s="288"/>
      <c r="L157" s="288"/>
      <c r="M157" s="288"/>
      <c r="N157" s="288"/>
      <c r="O157" s="288"/>
      <c r="P157" s="288"/>
      <c r="Q157" s="288"/>
      <c r="R157" s="274"/>
      <c r="S157" s="288"/>
      <c r="T157" s="288"/>
      <c r="U157" s="288"/>
      <c r="V157" s="288"/>
      <c r="W157" s="290"/>
      <c r="X157" s="288"/>
      <c r="Y157" s="288"/>
      <c r="Z157" s="289"/>
      <c r="AA157" s="288"/>
      <c r="AB157" s="288"/>
      <c r="AC157" s="288"/>
      <c r="AD157" s="288"/>
      <c r="AE157" s="288"/>
      <c r="AF157" s="288"/>
      <c r="AG157" s="288"/>
      <c r="AH157" s="288"/>
      <c r="AI157" s="288"/>
      <c r="AJ157" s="288"/>
      <c r="AK157" s="289"/>
      <c r="AL157" s="288"/>
      <c r="AM157" s="288"/>
      <c r="AN157" s="288"/>
      <c r="AO157" s="288"/>
      <c r="AP157" s="288"/>
      <c r="AQ157" s="288"/>
      <c r="AR157" s="288"/>
      <c r="AS157" s="289"/>
      <c r="AT157" s="286"/>
      <c r="AU157" s="286"/>
      <c r="AV157" s="286"/>
      <c r="AW157" s="286"/>
      <c r="AX157" s="286"/>
      <c r="AY157" s="286"/>
      <c r="AZ157" s="286"/>
      <c r="BA157" s="286"/>
      <c r="BB157" s="287"/>
      <c r="BC157" s="230"/>
      <c r="BD157" s="230"/>
      <c r="BE157" s="230"/>
      <c r="BF157" s="230"/>
      <c r="BG157" s="230"/>
      <c r="BH157" s="230"/>
      <c r="BI157" s="230"/>
      <c r="BJ157" s="170"/>
      <c r="BK157" s="277"/>
      <c r="BL157" s="286"/>
      <c r="BM157" s="286"/>
      <c r="BN157" s="286"/>
      <c r="BO157" s="286"/>
      <c r="BP157" s="286"/>
      <c r="BQ157" s="286"/>
      <c r="BR157" s="85"/>
      <c r="BS157" s="85"/>
      <c r="BT157" s="85"/>
    </row>
    <row r="158" spans="1:72" s="85" customFormat="1" ht="22.5" customHeight="1">
      <c r="B158" s="39"/>
      <c r="H158" s="39"/>
      <c r="J158" s="287"/>
      <c r="K158" s="286"/>
      <c r="L158" s="286"/>
      <c r="M158" s="286"/>
      <c r="N158" s="286"/>
      <c r="O158" s="286"/>
      <c r="P158" s="286"/>
      <c r="Q158" s="286"/>
      <c r="R158" s="275"/>
      <c r="S158" s="286"/>
      <c r="T158" s="286"/>
      <c r="U158" s="286"/>
      <c r="V158" s="286"/>
      <c r="W158" s="276"/>
      <c r="X158" s="286"/>
      <c r="Y158" s="286"/>
      <c r="Z158" s="287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7"/>
      <c r="AL158" s="286"/>
      <c r="AM158" s="286"/>
      <c r="AN158" s="286"/>
      <c r="AO158" s="286"/>
      <c r="AP158" s="286"/>
      <c r="AQ158" s="286"/>
      <c r="AR158" s="286"/>
      <c r="AS158" s="287"/>
      <c r="AT158" s="286"/>
      <c r="AU158" s="286"/>
      <c r="AV158" s="286"/>
      <c r="AW158" s="286"/>
      <c r="AX158" s="286"/>
      <c r="AY158" s="286"/>
      <c r="AZ158" s="286"/>
      <c r="BA158" s="170"/>
      <c r="BB158" s="287"/>
      <c r="BC158" s="230"/>
      <c r="BD158" s="230"/>
      <c r="BE158" s="230"/>
      <c r="BF158" s="230"/>
      <c r="BG158" s="230"/>
      <c r="BH158" s="230"/>
      <c r="BI158" s="230"/>
      <c r="BJ158" s="170"/>
      <c r="BK158" s="277"/>
      <c r="BL158" s="288"/>
      <c r="BM158" s="288"/>
      <c r="BN158" s="288"/>
      <c r="BO158" s="288"/>
      <c r="BP158" s="288"/>
      <c r="BQ158" s="288"/>
    </row>
    <row r="159" spans="1:72" s="85" customFormat="1" ht="22.5" customHeight="1">
      <c r="B159" s="39"/>
      <c r="D159" s="38"/>
      <c r="E159" s="38"/>
      <c r="H159" s="39"/>
      <c r="J159" s="287"/>
      <c r="K159" s="286"/>
      <c r="L159" s="286"/>
      <c r="M159" s="286"/>
      <c r="N159" s="286"/>
      <c r="O159" s="286"/>
      <c r="P159" s="286"/>
      <c r="Q159" s="286"/>
      <c r="R159" s="275"/>
      <c r="S159" s="286"/>
      <c r="T159" s="286"/>
      <c r="U159" s="286"/>
      <c r="V159" s="286"/>
      <c r="W159" s="276"/>
      <c r="X159" s="286"/>
      <c r="Y159" s="286"/>
      <c r="Z159" s="287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7"/>
      <c r="AL159" s="286"/>
      <c r="AM159" s="286"/>
      <c r="AN159" s="286"/>
      <c r="AO159" s="286"/>
      <c r="AP159" s="286"/>
      <c r="AQ159" s="286"/>
      <c r="AR159" s="286"/>
      <c r="AS159" s="287"/>
      <c r="AT159" s="286"/>
      <c r="AU159" s="286"/>
      <c r="AV159" s="286"/>
      <c r="AW159" s="286"/>
      <c r="AX159" s="286"/>
      <c r="AY159" s="286"/>
      <c r="AZ159" s="286"/>
      <c r="BA159" s="170"/>
      <c r="BB159" s="277"/>
      <c r="BC159" s="230"/>
      <c r="BD159" s="230"/>
      <c r="BE159" s="230"/>
      <c r="BF159" s="230"/>
      <c r="BG159" s="230"/>
      <c r="BH159" s="230"/>
      <c r="BI159" s="230"/>
      <c r="BJ159" s="170"/>
      <c r="BK159" s="277"/>
      <c r="BL159" s="286"/>
      <c r="BM159" s="286"/>
      <c r="BN159" s="286"/>
      <c r="BO159" s="286"/>
      <c r="BP159" s="286"/>
      <c r="BQ159" s="286"/>
      <c r="BR159" s="8"/>
      <c r="BS159" s="8"/>
      <c r="BT159" s="8"/>
    </row>
    <row r="160" spans="1:72" s="85" customFormat="1" ht="22.5" customHeight="1">
      <c r="A160" s="162"/>
      <c r="B160" s="39"/>
      <c r="H160" s="39"/>
      <c r="J160" s="287"/>
      <c r="K160" s="286"/>
      <c r="L160" s="286"/>
      <c r="M160" s="286"/>
      <c r="N160" s="286"/>
      <c r="O160" s="286"/>
      <c r="P160" s="286"/>
      <c r="Q160" s="286"/>
      <c r="R160" s="275"/>
      <c r="S160" s="286"/>
      <c r="T160" s="286"/>
      <c r="U160" s="286"/>
      <c r="V160" s="286"/>
      <c r="W160" s="276"/>
      <c r="X160" s="286"/>
      <c r="Y160" s="286"/>
      <c r="Z160" s="287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7"/>
      <c r="AL160" s="286"/>
      <c r="AM160" s="286"/>
      <c r="AN160" s="286"/>
      <c r="AO160" s="286"/>
      <c r="AP160" s="286"/>
      <c r="AQ160" s="286"/>
      <c r="AR160" s="286"/>
      <c r="AS160" s="287"/>
      <c r="AT160" s="170"/>
      <c r="AU160" s="170"/>
      <c r="AV160" s="170"/>
      <c r="AW160" s="170"/>
      <c r="AX160" s="170"/>
      <c r="AY160" s="170"/>
      <c r="AZ160" s="170"/>
      <c r="BA160" s="170"/>
      <c r="BB160" s="277"/>
      <c r="BC160" s="230"/>
      <c r="BD160" s="230"/>
      <c r="BE160" s="230"/>
      <c r="BF160" s="230"/>
      <c r="BG160" s="230"/>
      <c r="BH160" s="230"/>
      <c r="BI160" s="230"/>
      <c r="BJ160" s="170"/>
      <c r="BK160" s="277"/>
      <c r="BL160" s="286"/>
      <c r="BM160" s="286"/>
      <c r="BN160" s="286"/>
      <c r="BO160" s="286"/>
      <c r="BP160" s="286"/>
      <c r="BQ160" s="286"/>
      <c r="BR160" s="8"/>
      <c r="BS160" s="8"/>
      <c r="BT160" s="8"/>
    </row>
    <row r="161" spans="2:72" s="85" customFormat="1" ht="22.5" customHeight="1">
      <c r="B161" s="39"/>
      <c r="H161" s="39"/>
      <c r="J161" s="287"/>
      <c r="K161" s="286"/>
      <c r="L161" s="286"/>
      <c r="M161" s="286"/>
      <c r="N161" s="286"/>
      <c r="O161" s="286"/>
      <c r="P161" s="286"/>
      <c r="Q161" s="286"/>
      <c r="R161" s="275"/>
      <c r="S161" s="286"/>
      <c r="T161" s="286"/>
      <c r="U161" s="286"/>
      <c r="V161" s="286"/>
      <c r="W161" s="276"/>
      <c r="X161" s="286"/>
      <c r="Y161" s="286"/>
      <c r="Z161" s="287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7"/>
      <c r="AL161" s="286"/>
      <c r="AM161" s="286"/>
      <c r="AN161" s="286"/>
      <c r="AO161" s="286"/>
      <c r="AP161" s="286"/>
      <c r="AQ161" s="286"/>
      <c r="AR161" s="286"/>
      <c r="AS161" s="287"/>
      <c r="AT161" s="170"/>
      <c r="AU161" s="170"/>
      <c r="AV161" s="170"/>
      <c r="AW161" s="170"/>
      <c r="AX161" s="170"/>
      <c r="AY161" s="170"/>
      <c r="AZ161" s="170"/>
      <c r="BA161" s="170"/>
      <c r="BB161" s="277"/>
      <c r="BC161" s="230"/>
      <c r="BD161" s="230"/>
      <c r="BE161" s="230"/>
      <c r="BF161" s="230"/>
      <c r="BG161" s="230"/>
      <c r="BH161" s="230"/>
      <c r="BI161" s="230"/>
      <c r="BJ161" s="230"/>
      <c r="BK161" s="275"/>
      <c r="BL161" s="286"/>
      <c r="BM161" s="286"/>
      <c r="BN161" s="286"/>
      <c r="BO161" s="286"/>
      <c r="BP161" s="286"/>
      <c r="BQ161" s="286"/>
      <c r="BR161" s="8"/>
      <c r="BS161" s="8"/>
      <c r="BT161" s="8"/>
    </row>
    <row r="162" spans="2:72" ht="22.5" customHeight="1">
      <c r="BA162" s="230"/>
      <c r="BC162" s="230"/>
      <c r="BD162" s="230"/>
      <c r="BE162" s="230"/>
      <c r="BF162" s="230"/>
      <c r="BG162" s="230"/>
      <c r="BH162" s="230"/>
      <c r="BI162" s="230"/>
      <c r="BJ162" s="230"/>
      <c r="BK162" s="275"/>
      <c r="BL162" s="286"/>
      <c r="BM162" s="286"/>
      <c r="BN162" s="286"/>
      <c r="BO162" s="286"/>
      <c r="BP162" s="286"/>
      <c r="BQ162" s="286"/>
    </row>
    <row r="163" spans="2:72" ht="22.5" customHeight="1">
      <c r="BA163" s="230"/>
      <c r="BB163" s="275"/>
      <c r="BC163" s="230"/>
      <c r="BD163" s="230"/>
      <c r="BE163" s="230"/>
      <c r="BF163" s="230"/>
      <c r="BG163" s="230"/>
      <c r="BH163" s="230"/>
      <c r="BI163" s="230"/>
      <c r="BJ163" s="230"/>
      <c r="BK163" s="275"/>
      <c r="BR163" s="33"/>
      <c r="BS163" s="33"/>
      <c r="BT163" s="33"/>
    </row>
    <row r="164" spans="2:72" ht="22.5" customHeight="1">
      <c r="AT164" s="230"/>
      <c r="AU164" s="230"/>
      <c r="AV164" s="230"/>
      <c r="AW164" s="230"/>
      <c r="AX164" s="230"/>
      <c r="AY164" s="230"/>
      <c r="AZ164" s="230"/>
      <c r="BA164" s="230"/>
      <c r="BB164" s="275"/>
      <c r="BC164" s="230"/>
      <c r="BD164" s="230"/>
      <c r="BE164" s="230"/>
      <c r="BF164" s="230"/>
      <c r="BG164" s="230"/>
      <c r="BH164" s="230"/>
      <c r="BI164" s="230"/>
      <c r="BJ164" s="230"/>
      <c r="BK164" s="275"/>
      <c r="BR164" s="33"/>
      <c r="BS164" s="33"/>
      <c r="BT164" s="33"/>
    </row>
    <row r="165" spans="2:72" ht="22.5" customHeight="1">
      <c r="Q165" s="257"/>
      <c r="R165" s="291"/>
      <c r="S165" s="1275"/>
      <c r="AT165" s="230"/>
      <c r="AU165" s="230"/>
      <c r="AV165" s="230"/>
      <c r="AW165" s="230"/>
      <c r="AX165" s="230"/>
      <c r="AY165" s="230"/>
      <c r="AZ165" s="230"/>
      <c r="BA165" s="230"/>
      <c r="BB165" s="275"/>
      <c r="BC165" s="230"/>
      <c r="BD165" s="230"/>
      <c r="BE165" s="230"/>
      <c r="BF165" s="230"/>
      <c r="BG165" s="230"/>
      <c r="BH165" s="230"/>
      <c r="BI165" s="230"/>
      <c r="BJ165" s="230"/>
      <c r="BK165" s="275"/>
      <c r="BR165" s="33"/>
      <c r="BS165" s="33"/>
      <c r="BT165" s="33"/>
    </row>
    <row r="166" spans="2:72" s="33" customFormat="1" ht="22.5" customHeight="1">
      <c r="B166" s="39"/>
      <c r="H166" s="39"/>
      <c r="J166" s="275"/>
      <c r="K166" s="230"/>
      <c r="L166" s="230"/>
      <c r="M166" s="230"/>
      <c r="N166" s="230"/>
      <c r="O166" s="230"/>
      <c r="P166" s="230"/>
      <c r="Q166" s="271"/>
      <c r="R166" s="275"/>
      <c r="S166" s="230"/>
      <c r="T166" s="230"/>
      <c r="U166" s="230"/>
      <c r="V166" s="230"/>
      <c r="W166" s="276"/>
      <c r="X166" s="230"/>
      <c r="Y166" s="230"/>
      <c r="Z166" s="275"/>
      <c r="AA166" s="230"/>
      <c r="AB166" s="230"/>
      <c r="AC166" s="230"/>
      <c r="AD166" s="230"/>
      <c r="AE166" s="230"/>
      <c r="AF166" s="230"/>
      <c r="AG166" s="230"/>
      <c r="AH166" s="230"/>
      <c r="AI166" s="230"/>
      <c r="AJ166" s="230"/>
      <c r="AK166" s="275"/>
      <c r="AL166" s="230"/>
      <c r="AM166" s="230"/>
      <c r="AN166" s="230"/>
      <c r="AO166" s="230"/>
      <c r="AP166" s="230"/>
      <c r="AQ166" s="230"/>
      <c r="AR166" s="230"/>
      <c r="AS166" s="275"/>
      <c r="AT166" s="230"/>
      <c r="AU166" s="230"/>
      <c r="AV166" s="230"/>
      <c r="AW166" s="230"/>
      <c r="AX166" s="230"/>
      <c r="AY166" s="230"/>
      <c r="AZ166" s="230"/>
      <c r="BA166" s="230"/>
      <c r="BB166" s="275"/>
      <c r="BC166" s="230"/>
      <c r="BD166" s="230"/>
      <c r="BE166" s="230"/>
      <c r="BF166" s="230"/>
      <c r="BG166" s="230"/>
      <c r="BH166" s="230"/>
      <c r="BI166" s="230"/>
      <c r="BJ166" s="230"/>
      <c r="BK166" s="275"/>
      <c r="BL166" s="170"/>
      <c r="BM166" s="170"/>
      <c r="BN166" s="170"/>
      <c r="BO166" s="170"/>
      <c r="BP166" s="170"/>
      <c r="BQ166" s="170"/>
    </row>
    <row r="167" spans="2:72" s="33" customFormat="1" ht="22.5" customHeight="1">
      <c r="B167" s="39"/>
      <c r="H167" s="39"/>
      <c r="J167" s="275"/>
      <c r="K167" s="230"/>
      <c r="L167" s="230"/>
      <c r="M167" s="230"/>
      <c r="N167" s="230"/>
      <c r="O167" s="230"/>
      <c r="P167" s="230"/>
      <c r="Q167" s="271"/>
      <c r="R167" s="291"/>
      <c r="S167" s="264"/>
      <c r="T167" s="292"/>
      <c r="U167" s="293"/>
      <c r="V167" s="292"/>
      <c r="W167" s="258"/>
      <c r="X167" s="292"/>
      <c r="Y167" s="180"/>
      <c r="Z167" s="274"/>
      <c r="AA167" s="180"/>
      <c r="AB167" s="230"/>
      <c r="AC167" s="230"/>
      <c r="AD167" s="230"/>
      <c r="AE167" s="230"/>
      <c r="AF167" s="230"/>
      <c r="AG167" s="230"/>
      <c r="AH167" s="230"/>
      <c r="AI167" s="230"/>
      <c r="AJ167" s="230"/>
      <c r="AK167" s="275"/>
      <c r="AL167" s="230"/>
      <c r="AM167" s="230"/>
      <c r="AN167" s="230"/>
      <c r="AO167" s="230"/>
      <c r="AP167" s="230"/>
      <c r="AQ167" s="230"/>
      <c r="AR167" s="230"/>
      <c r="AS167" s="275"/>
      <c r="AT167" s="230"/>
      <c r="AU167" s="230"/>
      <c r="AV167" s="230"/>
      <c r="AW167" s="230"/>
      <c r="AX167" s="230"/>
      <c r="AY167" s="230"/>
      <c r="AZ167" s="230"/>
      <c r="BA167" s="230"/>
      <c r="BB167" s="275"/>
      <c r="BC167" s="297"/>
      <c r="BD167" s="297"/>
      <c r="BE167" s="297"/>
      <c r="BF167" s="297"/>
      <c r="BG167" s="297"/>
      <c r="BH167" s="297"/>
      <c r="BI167" s="297"/>
      <c r="BJ167" s="230"/>
      <c r="BK167" s="275"/>
      <c r="BL167" s="230"/>
      <c r="BM167" s="230"/>
      <c r="BN167" s="230"/>
      <c r="BO167" s="230"/>
      <c r="BP167" s="230"/>
      <c r="BQ167" s="230"/>
    </row>
    <row r="168" spans="2:72" s="33" customFormat="1" ht="22.5" customHeight="1">
      <c r="B168" s="39"/>
      <c r="H168" s="39"/>
      <c r="J168" s="275"/>
      <c r="K168" s="230"/>
      <c r="L168" s="230"/>
      <c r="M168" s="230"/>
      <c r="N168" s="230"/>
      <c r="O168" s="230"/>
      <c r="P168" s="230"/>
      <c r="Q168" s="271"/>
      <c r="R168" s="294"/>
      <c r="S168" s="264"/>
      <c r="T168" s="180"/>
      <c r="U168" s="180"/>
      <c r="V168" s="180"/>
      <c r="W168" s="290"/>
      <c r="X168" s="180"/>
      <c r="Y168" s="180"/>
      <c r="Z168" s="274"/>
      <c r="AA168" s="18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75"/>
      <c r="AL168" s="230"/>
      <c r="AM168" s="230"/>
      <c r="AN168" s="230"/>
      <c r="AO168" s="230"/>
      <c r="AP168" s="230"/>
      <c r="AQ168" s="230"/>
      <c r="AR168" s="230"/>
      <c r="AS168" s="275"/>
      <c r="AT168" s="230"/>
      <c r="AU168" s="230"/>
      <c r="AV168" s="230"/>
      <c r="AW168" s="230"/>
      <c r="AX168" s="230"/>
      <c r="AY168" s="230"/>
      <c r="AZ168" s="230"/>
      <c r="BA168" s="230"/>
      <c r="BB168" s="275"/>
      <c r="BC168" s="297"/>
      <c r="BD168" s="297"/>
      <c r="BE168" s="297"/>
      <c r="BF168" s="297"/>
      <c r="BG168" s="297"/>
      <c r="BH168" s="297"/>
      <c r="BI168" s="297"/>
      <c r="BJ168" s="230"/>
      <c r="BK168" s="275"/>
      <c r="BL168" s="230"/>
      <c r="BM168" s="230"/>
      <c r="BN168" s="230"/>
      <c r="BO168" s="230"/>
      <c r="BP168" s="230"/>
      <c r="BQ168" s="230"/>
    </row>
    <row r="169" spans="2:72" s="33" customFormat="1" ht="22.5" customHeight="1">
      <c r="B169" s="39"/>
      <c r="H169" s="39"/>
      <c r="J169" s="275"/>
      <c r="K169" s="230"/>
      <c r="L169" s="230"/>
      <c r="M169" s="230"/>
      <c r="N169" s="230"/>
      <c r="O169" s="230"/>
      <c r="P169" s="230"/>
      <c r="Q169" s="271"/>
      <c r="R169" s="291"/>
      <c r="S169" s="264"/>
      <c r="T169" s="292"/>
      <c r="U169" s="293"/>
      <c r="V169" s="292"/>
      <c r="W169" s="258"/>
      <c r="X169" s="292"/>
      <c r="Y169" s="180"/>
      <c r="Z169" s="274"/>
      <c r="AA169" s="18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75"/>
      <c r="AL169" s="230"/>
      <c r="AM169" s="230"/>
      <c r="AN169" s="230"/>
      <c r="AO169" s="230"/>
      <c r="AP169" s="230"/>
      <c r="AQ169" s="230"/>
      <c r="AR169" s="230"/>
      <c r="AS169" s="275"/>
      <c r="AT169" s="230"/>
      <c r="AU169" s="230"/>
      <c r="AV169" s="230"/>
      <c r="AW169" s="230"/>
      <c r="AX169" s="230"/>
      <c r="AY169" s="230"/>
      <c r="AZ169" s="230"/>
      <c r="BA169" s="230"/>
      <c r="BB169" s="275"/>
      <c r="BC169" s="297"/>
      <c r="BD169" s="297"/>
      <c r="BE169" s="297"/>
      <c r="BF169" s="297"/>
      <c r="BG169" s="297"/>
      <c r="BH169" s="297"/>
      <c r="BI169" s="297"/>
      <c r="BJ169" s="230"/>
      <c r="BK169" s="275"/>
      <c r="BL169" s="230"/>
      <c r="BM169" s="230"/>
      <c r="BN169" s="230"/>
      <c r="BO169" s="230"/>
      <c r="BP169" s="230"/>
      <c r="BQ169" s="230"/>
    </row>
    <row r="170" spans="2:72" s="33" customFormat="1" ht="22.5" customHeight="1">
      <c r="B170" s="39"/>
      <c r="H170" s="39"/>
      <c r="J170" s="275"/>
      <c r="K170" s="230"/>
      <c r="L170" s="230"/>
      <c r="M170" s="230"/>
      <c r="N170" s="230"/>
      <c r="O170" s="230"/>
      <c r="P170" s="230"/>
      <c r="Q170" s="180"/>
      <c r="R170" s="274"/>
      <c r="S170" s="180"/>
      <c r="T170" s="180"/>
      <c r="U170" s="180"/>
      <c r="V170" s="180"/>
      <c r="W170" s="290"/>
      <c r="X170" s="180"/>
      <c r="Y170" s="180"/>
      <c r="Z170" s="274"/>
      <c r="AA170" s="18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75"/>
      <c r="AL170" s="230"/>
      <c r="AM170" s="230"/>
      <c r="AN170" s="230"/>
      <c r="AO170" s="230"/>
      <c r="AP170" s="230"/>
      <c r="AQ170" s="230"/>
      <c r="AR170" s="230"/>
      <c r="AS170" s="275"/>
      <c r="AT170" s="230"/>
      <c r="AU170" s="230"/>
      <c r="AV170" s="230"/>
      <c r="AW170" s="230"/>
      <c r="AX170" s="230"/>
      <c r="AY170" s="230"/>
      <c r="AZ170" s="230"/>
      <c r="BA170" s="230"/>
      <c r="BB170" s="275"/>
      <c r="BC170" s="276"/>
      <c r="BD170" s="276"/>
      <c r="BE170" s="276"/>
      <c r="BF170" s="276"/>
      <c r="BG170" s="276"/>
      <c r="BH170" s="276"/>
      <c r="BI170" s="276"/>
      <c r="BJ170" s="230"/>
      <c r="BK170" s="275"/>
      <c r="BL170" s="230"/>
      <c r="BM170" s="230"/>
      <c r="BN170" s="230"/>
      <c r="BO170" s="230"/>
      <c r="BP170" s="230"/>
      <c r="BQ170" s="230"/>
    </row>
    <row r="171" spans="2:72" s="33" customFormat="1" ht="22.5" customHeight="1">
      <c r="B171" s="39"/>
      <c r="H171" s="39"/>
      <c r="J171" s="275"/>
      <c r="K171" s="230"/>
      <c r="L171" s="230"/>
      <c r="M171" s="230"/>
      <c r="N171" s="230"/>
      <c r="O171" s="230"/>
      <c r="P171" s="230"/>
      <c r="Q171" s="230"/>
      <c r="R171" s="275"/>
      <c r="S171" s="230"/>
      <c r="T171" s="230"/>
      <c r="U171" s="230"/>
      <c r="V171" s="230"/>
      <c r="W171" s="276"/>
      <c r="X171" s="230"/>
      <c r="Y171" s="230"/>
      <c r="Z171" s="275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75"/>
      <c r="AL171" s="230"/>
      <c r="AM171" s="230"/>
      <c r="AN171" s="230"/>
      <c r="AO171" s="230"/>
      <c r="AP171" s="230"/>
      <c r="AQ171" s="230"/>
      <c r="AR171" s="230"/>
      <c r="AS171" s="275"/>
      <c r="AT171" s="230"/>
      <c r="AU171" s="230"/>
      <c r="AV171" s="230"/>
      <c r="AW171" s="230"/>
      <c r="AX171" s="230"/>
      <c r="AY171" s="230"/>
      <c r="AZ171" s="230"/>
      <c r="BA171" s="230"/>
      <c r="BB171" s="275"/>
      <c r="BC171" s="276"/>
      <c r="BD171" s="276"/>
      <c r="BE171" s="276"/>
      <c r="BF171" s="276"/>
      <c r="BG171" s="276"/>
      <c r="BH171" s="276"/>
      <c r="BI171" s="276"/>
      <c r="BJ171" s="230"/>
      <c r="BK171" s="275"/>
      <c r="BL171" s="230"/>
      <c r="BM171" s="230"/>
      <c r="BN171" s="230"/>
      <c r="BO171" s="230"/>
      <c r="BP171" s="230"/>
      <c r="BQ171" s="230"/>
    </row>
    <row r="172" spans="2:72" s="33" customFormat="1" ht="22.5" customHeight="1">
      <c r="B172" s="39"/>
      <c r="H172" s="39"/>
      <c r="J172" s="275"/>
      <c r="K172" s="230"/>
      <c r="L172" s="230"/>
      <c r="M172" s="230"/>
      <c r="N172" s="230"/>
      <c r="O172" s="230"/>
      <c r="P172" s="230"/>
      <c r="Q172" s="230"/>
      <c r="R172" s="275"/>
      <c r="S172" s="230"/>
      <c r="T172" s="230"/>
      <c r="U172" s="230"/>
      <c r="V172" s="230"/>
      <c r="W172" s="276"/>
      <c r="X172" s="230"/>
      <c r="Y172" s="230"/>
      <c r="Z172" s="275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75"/>
      <c r="AL172" s="230"/>
      <c r="AM172" s="230"/>
      <c r="AN172" s="230"/>
      <c r="AO172" s="230"/>
      <c r="AP172" s="230"/>
      <c r="AQ172" s="230"/>
      <c r="AR172" s="230"/>
      <c r="AS172" s="275"/>
      <c r="AT172" s="230"/>
      <c r="AU172" s="230"/>
      <c r="AV172" s="230"/>
      <c r="AW172" s="230"/>
      <c r="AX172" s="230"/>
      <c r="AY172" s="230"/>
      <c r="AZ172" s="230"/>
      <c r="BA172" s="230"/>
      <c r="BB172" s="275"/>
      <c r="BC172" s="276"/>
      <c r="BD172" s="276"/>
      <c r="BE172" s="276"/>
      <c r="BF172" s="276"/>
      <c r="BG172" s="276"/>
      <c r="BH172" s="276"/>
      <c r="BI172" s="276"/>
      <c r="BJ172" s="297"/>
      <c r="BK172" s="298"/>
      <c r="BL172" s="230"/>
      <c r="BM172" s="230"/>
      <c r="BN172" s="230"/>
      <c r="BO172" s="230"/>
      <c r="BP172" s="230"/>
      <c r="BQ172" s="230"/>
    </row>
    <row r="173" spans="2:72" s="33" customFormat="1" ht="22.5" customHeight="1">
      <c r="B173" s="39"/>
      <c r="H173" s="39"/>
      <c r="J173" s="275"/>
      <c r="K173" s="230"/>
      <c r="L173" s="230"/>
      <c r="M173" s="230"/>
      <c r="N173" s="230"/>
      <c r="O173" s="230"/>
      <c r="P173" s="230"/>
      <c r="Q173" s="230"/>
      <c r="R173" s="275"/>
      <c r="S173" s="230"/>
      <c r="T173" s="230"/>
      <c r="U173" s="230"/>
      <c r="V173" s="230"/>
      <c r="W173" s="276"/>
      <c r="X173" s="230"/>
      <c r="Y173" s="230"/>
      <c r="Z173" s="275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75"/>
      <c r="AL173" s="230"/>
      <c r="AM173" s="230"/>
      <c r="AN173" s="230"/>
      <c r="AO173" s="230"/>
      <c r="AP173" s="230"/>
      <c r="AQ173" s="230"/>
      <c r="AR173" s="230"/>
      <c r="AS173" s="275"/>
      <c r="AT173" s="230"/>
      <c r="AU173" s="230"/>
      <c r="AV173" s="230"/>
      <c r="AW173" s="230"/>
      <c r="AX173" s="230"/>
      <c r="AY173" s="230"/>
      <c r="AZ173" s="230"/>
      <c r="BA173" s="297"/>
      <c r="BB173" s="275"/>
      <c r="BC173" s="276"/>
      <c r="BD173" s="276"/>
      <c r="BE173" s="276"/>
      <c r="BF173" s="276"/>
      <c r="BG173" s="276"/>
      <c r="BH173" s="276"/>
      <c r="BI173" s="276"/>
      <c r="BJ173" s="297"/>
      <c r="BK173" s="298"/>
      <c r="BL173" s="230"/>
      <c r="BM173" s="230"/>
      <c r="BN173" s="230"/>
      <c r="BO173" s="230"/>
      <c r="BP173" s="230"/>
      <c r="BQ173" s="230"/>
    </row>
    <row r="174" spans="2:72" s="33" customFormat="1" ht="22.5" customHeight="1">
      <c r="B174" s="39"/>
      <c r="H174" s="39"/>
      <c r="J174" s="275"/>
      <c r="K174" s="230"/>
      <c r="L174" s="230"/>
      <c r="M174" s="230"/>
      <c r="N174" s="230"/>
      <c r="O174" s="230"/>
      <c r="P174" s="230"/>
      <c r="Q174" s="230"/>
      <c r="R174" s="275"/>
      <c r="S174" s="230"/>
      <c r="T174" s="230"/>
      <c r="U174" s="230"/>
      <c r="V174" s="230"/>
      <c r="W174" s="276"/>
      <c r="X174" s="230"/>
      <c r="Y174" s="230"/>
      <c r="Z174" s="275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75"/>
      <c r="AL174" s="230"/>
      <c r="AM174" s="230"/>
      <c r="AN174" s="230"/>
      <c r="AO174" s="230"/>
      <c r="AP174" s="230"/>
      <c r="AQ174" s="230"/>
      <c r="AR174" s="230"/>
      <c r="AS174" s="275"/>
      <c r="AT174" s="230"/>
      <c r="AU174" s="230"/>
      <c r="AV174" s="230"/>
      <c r="AW174" s="230"/>
      <c r="AX174" s="230"/>
      <c r="AY174" s="230"/>
      <c r="AZ174" s="230"/>
      <c r="BA174" s="297"/>
      <c r="BB174" s="298"/>
      <c r="BC174" s="276"/>
      <c r="BD174" s="276"/>
      <c r="BE174" s="276"/>
      <c r="BF174" s="276"/>
      <c r="BG174" s="276"/>
      <c r="BH174" s="276"/>
      <c r="BI174" s="276"/>
      <c r="BJ174" s="297"/>
      <c r="BK174" s="298"/>
      <c r="BL174" s="230"/>
      <c r="BM174" s="230"/>
      <c r="BN174" s="230"/>
      <c r="BO174" s="230"/>
      <c r="BP174" s="230"/>
      <c r="BQ174" s="230"/>
      <c r="BR174" s="13"/>
      <c r="BS174" s="13"/>
      <c r="BT174" s="13"/>
    </row>
    <row r="175" spans="2:72" s="33" customFormat="1" ht="22.5" customHeight="1">
      <c r="B175" s="39"/>
      <c r="H175" s="39"/>
      <c r="J175" s="275"/>
      <c r="K175" s="230"/>
      <c r="L175" s="230"/>
      <c r="M175" s="230"/>
      <c r="N175" s="230"/>
      <c r="O175" s="230"/>
      <c r="P175" s="230"/>
      <c r="Q175" s="230"/>
      <c r="R175" s="275"/>
      <c r="S175" s="230"/>
      <c r="T175" s="230"/>
      <c r="U175" s="230"/>
      <c r="V175" s="230"/>
      <c r="W175" s="276"/>
      <c r="X175" s="230"/>
      <c r="Y175" s="230"/>
      <c r="Z175" s="275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75"/>
      <c r="AL175" s="230"/>
      <c r="AM175" s="230"/>
      <c r="AN175" s="230"/>
      <c r="AO175" s="230"/>
      <c r="AP175" s="230"/>
      <c r="AQ175" s="230"/>
      <c r="AR175" s="230"/>
      <c r="AS175" s="275"/>
      <c r="AT175" s="297"/>
      <c r="AU175" s="297"/>
      <c r="AV175" s="297"/>
      <c r="AW175" s="297"/>
      <c r="AX175" s="297"/>
      <c r="AY175" s="297"/>
      <c r="AZ175" s="297"/>
      <c r="BA175" s="297"/>
      <c r="BB175" s="298"/>
      <c r="BC175" s="276"/>
      <c r="BD175" s="276"/>
      <c r="BE175" s="276"/>
      <c r="BF175" s="276"/>
      <c r="BG175" s="276"/>
      <c r="BH175" s="276"/>
      <c r="BI175" s="276"/>
      <c r="BJ175" s="276"/>
      <c r="BK175" s="281"/>
      <c r="BL175" s="230"/>
      <c r="BM175" s="230"/>
      <c r="BN175" s="230"/>
      <c r="BO175" s="230"/>
      <c r="BP175" s="230"/>
      <c r="BQ175" s="230"/>
      <c r="BR175" s="13"/>
      <c r="BS175" s="13"/>
      <c r="BT175" s="13"/>
    </row>
    <row r="176" spans="2:72" s="33" customFormat="1" ht="22.5" customHeight="1">
      <c r="B176" s="39"/>
      <c r="H176" s="39"/>
      <c r="J176" s="275"/>
      <c r="K176" s="230"/>
      <c r="L176" s="230"/>
      <c r="M176" s="230"/>
      <c r="N176" s="230"/>
      <c r="O176" s="230"/>
      <c r="P176" s="230"/>
      <c r="Q176" s="180"/>
      <c r="R176" s="275"/>
      <c r="S176" s="264"/>
      <c r="T176" s="295"/>
      <c r="U176" s="296"/>
      <c r="V176" s="295"/>
      <c r="W176" s="258"/>
      <c r="X176" s="292"/>
      <c r="Y176" s="230"/>
      <c r="Z176" s="275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75"/>
      <c r="AL176" s="230"/>
      <c r="AM176" s="230"/>
      <c r="AN176" s="230"/>
      <c r="AO176" s="230"/>
      <c r="AP176" s="230"/>
      <c r="AQ176" s="230"/>
      <c r="AR176" s="230"/>
      <c r="AS176" s="275"/>
      <c r="AT176" s="297"/>
      <c r="AU176" s="297"/>
      <c r="AV176" s="297"/>
      <c r="AW176" s="297"/>
      <c r="AX176" s="297"/>
      <c r="AY176" s="297"/>
      <c r="AZ176" s="297"/>
      <c r="BA176" s="276"/>
      <c r="BB176" s="298"/>
      <c r="BC176" s="276"/>
      <c r="BD176" s="276"/>
      <c r="BE176" s="276"/>
      <c r="BF176" s="276"/>
      <c r="BG176" s="276"/>
      <c r="BH176" s="276"/>
      <c r="BI176" s="276"/>
      <c r="BJ176" s="276"/>
      <c r="BK176" s="281"/>
      <c r="BL176" s="230"/>
      <c r="BM176" s="230"/>
      <c r="BN176" s="230"/>
      <c r="BO176" s="230"/>
      <c r="BP176" s="230"/>
      <c r="BQ176" s="230"/>
      <c r="BR176" s="13"/>
      <c r="BS176" s="13"/>
      <c r="BT176" s="13"/>
    </row>
    <row r="177" spans="1:72" s="13" customFormat="1" ht="22.5" customHeight="1">
      <c r="B177" s="39"/>
      <c r="H177" s="39"/>
      <c r="J177" s="298"/>
      <c r="K177" s="297"/>
      <c r="L177" s="297"/>
      <c r="M177" s="297"/>
      <c r="N177" s="297"/>
      <c r="O177" s="297"/>
      <c r="P177" s="297"/>
      <c r="Q177" s="297"/>
      <c r="R177" s="275"/>
      <c r="S177" s="297"/>
      <c r="T177" s="297"/>
      <c r="U177" s="297"/>
      <c r="V177" s="297"/>
      <c r="W177" s="276"/>
      <c r="X177" s="297"/>
      <c r="Y177" s="297"/>
      <c r="Z177" s="298"/>
      <c r="AA177" s="297"/>
      <c r="AB177" s="297"/>
      <c r="AC177" s="297"/>
      <c r="AD177" s="297"/>
      <c r="AE177" s="297"/>
      <c r="AF177" s="297"/>
      <c r="AG177" s="297"/>
      <c r="AH177" s="297"/>
      <c r="AI177" s="297"/>
      <c r="AJ177" s="297"/>
      <c r="AK177" s="298"/>
      <c r="AL177" s="297"/>
      <c r="AM177" s="297"/>
      <c r="AN177" s="297"/>
      <c r="AO177" s="297"/>
      <c r="AP177" s="297"/>
      <c r="AQ177" s="297"/>
      <c r="AR177" s="297"/>
      <c r="AS177" s="298"/>
      <c r="AT177" s="297"/>
      <c r="AU177" s="297"/>
      <c r="AV177" s="297"/>
      <c r="AW177" s="297"/>
      <c r="AX177" s="297"/>
      <c r="AY177" s="297"/>
      <c r="AZ177" s="297"/>
      <c r="BA177" s="276"/>
      <c r="BB177" s="281"/>
      <c r="BC177" s="276"/>
      <c r="BD177" s="276"/>
      <c r="BE177" s="276"/>
      <c r="BF177" s="276"/>
      <c r="BG177" s="276"/>
      <c r="BH177" s="276"/>
      <c r="BI177" s="276"/>
      <c r="BJ177" s="276"/>
      <c r="BK177" s="281"/>
      <c r="BL177" s="230"/>
      <c r="BM177" s="230"/>
      <c r="BN177" s="230"/>
      <c r="BO177" s="230"/>
      <c r="BP177" s="230"/>
      <c r="BQ177" s="230"/>
      <c r="BR177" s="39"/>
      <c r="BS177" s="39"/>
      <c r="BT177" s="39"/>
    </row>
    <row r="178" spans="1:72" s="13" customFormat="1" ht="22.5" customHeight="1">
      <c r="B178" s="39"/>
      <c r="H178" s="39"/>
      <c r="J178" s="298"/>
      <c r="K178" s="297"/>
      <c r="L178" s="297"/>
      <c r="M178" s="297"/>
      <c r="N178" s="297"/>
      <c r="O178" s="297"/>
      <c r="P178" s="297"/>
      <c r="Q178" s="297"/>
      <c r="R178" s="275"/>
      <c r="S178" s="297"/>
      <c r="T178" s="297"/>
      <c r="U178" s="297"/>
      <c r="V178" s="297"/>
      <c r="W178" s="276"/>
      <c r="X178" s="297"/>
      <c r="Y178" s="297"/>
      <c r="Z178" s="298"/>
      <c r="AA178" s="297"/>
      <c r="AB178" s="297"/>
      <c r="AC178" s="297"/>
      <c r="AD178" s="297"/>
      <c r="AE178" s="297"/>
      <c r="AF178" s="297"/>
      <c r="AG178" s="297"/>
      <c r="AH178" s="297"/>
      <c r="AI178" s="297"/>
      <c r="AJ178" s="297"/>
      <c r="AK178" s="298"/>
      <c r="AL178" s="297"/>
      <c r="AM178" s="297"/>
      <c r="AN178" s="297"/>
      <c r="AO178" s="297"/>
      <c r="AP178" s="297"/>
      <c r="AQ178" s="297"/>
      <c r="AR178" s="297"/>
      <c r="AS178" s="298"/>
      <c r="AT178" s="276"/>
      <c r="AU178" s="276"/>
      <c r="AV178" s="276"/>
      <c r="AW178" s="276"/>
      <c r="AX178" s="276"/>
      <c r="AY178" s="276"/>
      <c r="AZ178" s="276"/>
      <c r="BA178" s="276"/>
      <c r="BB178" s="281"/>
      <c r="BC178" s="276"/>
      <c r="BD178" s="276"/>
      <c r="BE178" s="276"/>
      <c r="BF178" s="276"/>
      <c r="BG178" s="276"/>
      <c r="BH178" s="276"/>
      <c r="BI178" s="276"/>
      <c r="BJ178" s="276"/>
      <c r="BK178" s="281"/>
      <c r="BL178" s="297"/>
      <c r="BM178" s="297"/>
      <c r="BN178" s="297"/>
      <c r="BO178" s="297"/>
      <c r="BP178" s="297"/>
      <c r="BQ178" s="297"/>
      <c r="BR178" s="39"/>
      <c r="BS178" s="39"/>
      <c r="BT178" s="39"/>
    </row>
    <row r="179" spans="1:72" s="13" customFormat="1" ht="22.5" customHeight="1">
      <c r="B179" s="39"/>
      <c r="H179" s="39"/>
      <c r="J179" s="298"/>
      <c r="K179" s="297"/>
      <c r="L179" s="297"/>
      <c r="M179" s="297"/>
      <c r="N179" s="297"/>
      <c r="O179" s="297"/>
      <c r="P179" s="297"/>
      <c r="Q179" s="297"/>
      <c r="R179" s="275"/>
      <c r="S179" s="297"/>
      <c r="T179" s="297"/>
      <c r="U179" s="297"/>
      <c r="V179" s="297"/>
      <c r="W179" s="276"/>
      <c r="X179" s="297"/>
      <c r="Y179" s="297"/>
      <c r="Z179" s="298"/>
      <c r="AA179" s="297"/>
      <c r="AB179" s="297"/>
      <c r="AC179" s="297"/>
      <c r="AD179" s="297"/>
      <c r="AE179" s="297"/>
      <c r="AF179" s="297"/>
      <c r="AG179" s="297"/>
      <c r="AH179" s="297"/>
      <c r="AI179" s="297"/>
      <c r="AJ179" s="297"/>
      <c r="AK179" s="298"/>
      <c r="AL179" s="297"/>
      <c r="AM179" s="297"/>
      <c r="AN179" s="297"/>
      <c r="AO179" s="297"/>
      <c r="AP179" s="297"/>
      <c r="AQ179" s="297"/>
      <c r="AR179" s="297"/>
      <c r="AS179" s="298"/>
      <c r="AT179" s="276"/>
      <c r="AU179" s="276"/>
      <c r="AV179" s="276"/>
      <c r="AW179" s="276"/>
      <c r="AX179" s="276"/>
      <c r="AY179" s="276"/>
      <c r="AZ179" s="276"/>
      <c r="BA179" s="276"/>
      <c r="BB179" s="281"/>
      <c r="BC179" s="276"/>
      <c r="BD179" s="276"/>
      <c r="BE179" s="276"/>
      <c r="BF179" s="276"/>
      <c r="BG179" s="276"/>
      <c r="BH179" s="276"/>
      <c r="BI179" s="276"/>
      <c r="BJ179" s="276"/>
      <c r="BK179" s="281"/>
      <c r="BL179" s="297"/>
      <c r="BM179" s="297"/>
      <c r="BN179" s="297"/>
      <c r="BO179" s="297"/>
      <c r="BP179" s="297"/>
      <c r="BQ179" s="297"/>
      <c r="BR179" s="39"/>
      <c r="BS179" s="39"/>
      <c r="BT179" s="39"/>
    </row>
    <row r="180" spans="1:72" s="39" customFormat="1" ht="22.5" customHeight="1">
      <c r="J180" s="281"/>
      <c r="K180" s="276"/>
      <c r="L180" s="276"/>
      <c r="M180" s="276"/>
      <c r="N180" s="276"/>
      <c r="O180" s="276"/>
      <c r="P180" s="276"/>
      <c r="Q180" s="276"/>
      <c r="R180" s="275"/>
      <c r="S180" s="276"/>
      <c r="T180" s="276"/>
      <c r="U180" s="276"/>
      <c r="V180" s="276"/>
      <c r="W180" s="276"/>
      <c r="X180" s="276"/>
      <c r="Y180" s="276"/>
      <c r="Z180" s="281"/>
      <c r="AA180" s="276"/>
      <c r="AB180" s="276"/>
      <c r="AC180" s="276"/>
      <c r="AD180" s="276"/>
      <c r="AE180" s="276"/>
      <c r="AF180" s="276"/>
      <c r="AG180" s="276"/>
      <c r="AH180" s="276"/>
      <c r="AI180" s="276"/>
      <c r="AJ180" s="276"/>
      <c r="AK180" s="281"/>
      <c r="AL180" s="276"/>
      <c r="AM180" s="276"/>
      <c r="AN180" s="276"/>
      <c r="AO180" s="276"/>
      <c r="AP180" s="276"/>
      <c r="AQ180" s="276"/>
      <c r="AR180" s="276"/>
      <c r="AS180" s="281"/>
      <c r="AT180" s="276"/>
      <c r="AU180" s="276"/>
      <c r="AV180" s="276"/>
      <c r="AW180" s="276"/>
      <c r="AX180" s="276"/>
      <c r="AY180" s="276"/>
      <c r="AZ180" s="276"/>
      <c r="BA180" s="276"/>
      <c r="BB180" s="281"/>
      <c r="BC180" s="276"/>
      <c r="BD180" s="276"/>
      <c r="BE180" s="276"/>
      <c r="BF180" s="276"/>
      <c r="BG180" s="276"/>
      <c r="BH180" s="276"/>
      <c r="BI180" s="276"/>
      <c r="BJ180" s="276"/>
      <c r="BK180" s="281"/>
      <c r="BL180" s="297"/>
      <c r="BM180" s="297"/>
      <c r="BN180" s="297"/>
      <c r="BO180" s="297"/>
      <c r="BP180" s="297"/>
      <c r="BQ180" s="297"/>
    </row>
    <row r="181" spans="1:72" s="39" customFormat="1" ht="22.5" customHeight="1">
      <c r="J181" s="281"/>
      <c r="K181" s="276"/>
      <c r="L181" s="276"/>
      <c r="M181" s="276"/>
      <c r="N181" s="276"/>
      <c r="O181" s="276"/>
      <c r="P181" s="276"/>
      <c r="Q181" s="276"/>
      <c r="R181" s="275"/>
      <c r="S181" s="276"/>
      <c r="T181" s="276"/>
      <c r="U181" s="276"/>
      <c r="V181" s="276"/>
      <c r="W181" s="276"/>
      <c r="X181" s="276"/>
      <c r="Y181" s="276"/>
      <c r="Z181" s="281"/>
      <c r="AA181" s="276"/>
      <c r="AB181" s="276"/>
      <c r="AC181" s="276"/>
      <c r="AD181" s="276"/>
      <c r="AE181" s="276"/>
      <c r="AF181" s="276"/>
      <c r="AG181" s="276"/>
      <c r="AH181" s="276"/>
      <c r="AI181" s="276"/>
      <c r="AJ181" s="276"/>
      <c r="AK181" s="281"/>
      <c r="AL181" s="276"/>
      <c r="AM181" s="276"/>
      <c r="AN181" s="276"/>
      <c r="AO181" s="276"/>
      <c r="AP181" s="276"/>
      <c r="AQ181" s="276"/>
      <c r="AR181" s="276"/>
      <c r="AS181" s="281"/>
      <c r="AT181" s="276"/>
      <c r="AU181" s="276"/>
      <c r="AV181" s="276"/>
      <c r="AW181" s="276"/>
      <c r="AX181" s="276"/>
      <c r="AY181" s="276"/>
      <c r="AZ181" s="276"/>
      <c r="BA181" s="276"/>
      <c r="BB181" s="281"/>
      <c r="BC181" s="276"/>
      <c r="BD181" s="276"/>
      <c r="BE181" s="276"/>
      <c r="BF181" s="276"/>
      <c r="BG181" s="276"/>
      <c r="BH181" s="276"/>
      <c r="BI181" s="276"/>
      <c r="BJ181" s="276"/>
      <c r="BK181" s="281"/>
      <c r="BL181" s="276"/>
      <c r="BM181" s="276"/>
      <c r="BN181" s="276"/>
      <c r="BO181" s="276"/>
      <c r="BP181" s="276"/>
      <c r="BQ181" s="276"/>
    </row>
    <row r="182" spans="1:72" s="39" customFormat="1" ht="22.5" customHeight="1">
      <c r="J182" s="281"/>
      <c r="K182" s="276"/>
      <c r="L182" s="276"/>
      <c r="M182" s="276"/>
      <c r="N182" s="276"/>
      <c r="O182" s="276"/>
      <c r="P182" s="276"/>
      <c r="Q182" s="276"/>
      <c r="R182" s="275"/>
      <c r="S182" s="276"/>
      <c r="T182" s="276"/>
      <c r="U182" s="276"/>
      <c r="V182" s="276"/>
      <c r="W182" s="276"/>
      <c r="X182" s="276"/>
      <c r="Y182" s="276"/>
      <c r="Z182" s="281"/>
      <c r="AA182" s="276"/>
      <c r="AB182" s="276"/>
      <c r="AC182" s="276"/>
      <c r="AD182" s="276"/>
      <c r="AE182" s="276"/>
      <c r="AF182" s="276"/>
      <c r="AG182" s="276"/>
      <c r="AH182" s="276"/>
      <c r="AI182" s="276"/>
      <c r="AJ182" s="276"/>
      <c r="AK182" s="281"/>
      <c r="AL182" s="276"/>
      <c r="AM182" s="276"/>
      <c r="AN182" s="276"/>
      <c r="AO182" s="276"/>
      <c r="AP182" s="276"/>
      <c r="AQ182" s="276"/>
      <c r="AR182" s="276"/>
      <c r="AS182" s="281"/>
      <c r="AT182" s="276"/>
      <c r="AU182" s="276"/>
      <c r="AV182" s="276"/>
      <c r="AW182" s="276"/>
      <c r="AX182" s="276"/>
      <c r="AY182" s="276"/>
      <c r="AZ182" s="276"/>
      <c r="BA182" s="276"/>
      <c r="BB182" s="281"/>
      <c r="BC182" s="276"/>
      <c r="BD182" s="276"/>
      <c r="BE182" s="276"/>
      <c r="BF182" s="276"/>
      <c r="BG182" s="276"/>
      <c r="BH182" s="276"/>
      <c r="BI182" s="276"/>
      <c r="BJ182" s="276"/>
      <c r="BK182" s="281"/>
      <c r="BL182" s="276"/>
      <c r="BM182" s="276"/>
      <c r="BN182" s="276"/>
      <c r="BO182" s="276"/>
      <c r="BP182" s="276"/>
      <c r="BQ182" s="276"/>
    </row>
    <row r="183" spans="1:72" s="39" customFormat="1" ht="22.5" customHeight="1">
      <c r="J183" s="281"/>
      <c r="K183" s="276"/>
      <c r="L183" s="276"/>
      <c r="M183" s="276"/>
      <c r="N183" s="276"/>
      <c r="O183" s="276"/>
      <c r="P183" s="276"/>
      <c r="Q183" s="276"/>
      <c r="R183" s="275"/>
      <c r="S183" s="276"/>
      <c r="T183" s="276"/>
      <c r="U183" s="276"/>
      <c r="V183" s="276"/>
      <c r="W183" s="276"/>
      <c r="X183" s="276"/>
      <c r="Y183" s="276"/>
      <c r="Z183" s="281"/>
      <c r="AA183" s="276"/>
      <c r="AB183" s="276"/>
      <c r="AC183" s="276"/>
      <c r="AD183" s="276"/>
      <c r="AE183" s="276"/>
      <c r="AF183" s="276"/>
      <c r="AG183" s="276"/>
      <c r="AH183" s="276"/>
      <c r="AI183" s="276"/>
      <c r="AJ183" s="276"/>
      <c r="AK183" s="281"/>
      <c r="AL183" s="276"/>
      <c r="AM183" s="276"/>
      <c r="AN183" s="276"/>
      <c r="AO183" s="276"/>
      <c r="AP183" s="276"/>
      <c r="AQ183" s="276"/>
      <c r="AR183" s="276"/>
      <c r="AS183" s="281"/>
      <c r="AT183" s="276"/>
      <c r="AU183" s="276"/>
      <c r="AV183" s="276"/>
      <c r="AW183" s="276"/>
      <c r="AX183" s="276"/>
      <c r="AY183" s="276"/>
      <c r="AZ183" s="276"/>
      <c r="BA183" s="276"/>
      <c r="BB183" s="281"/>
      <c r="BC183" s="170"/>
      <c r="BD183" s="170"/>
      <c r="BE183" s="170"/>
      <c r="BF183" s="170"/>
      <c r="BG183" s="170"/>
      <c r="BH183" s="170"/>
      <c r="BI183" s="170"/>
      <c r="BJ183" s="276"/>
      <c r="BK183" s="281"/>
      <c r="BL183" s="276"/>
      <c r="BM183" s="276"/>
      <c r="BN183" s="276"/>
      <c r="BO183" s="276"/>
      <c r="BP183" s="276"/>
      <c r="BQ183" s="276"/>
    </row>
    <row r="184" spans="1:72" s="39" customFormat="1" ht="22.5" customHeight="1">
      <c r="J184" s="281"/>
      <c r="K184" s="276"/>
      <c r="L184" s="276"/>
      <c r="M184" s="276"/>
      <c r="N184" s="276"/>
      <c r="O184" s="276"/>
      <c r="P184" s="276"/>
      <c r="Q184" s="276"/>
      <c r="R184" s="275"/>
      <c r="S184" s="276"/>
      <c r="T184" s="276"/>
      <c r="U184" s="276"/>
      <c r="V184" s="276"/>
      <c r="W184" s="276"/>
      <c r="X184" s="276"/>
      <c r="Y184" s="276"/>
      <c r="Z184" s="281"/>
      <c r="AA184" s="276"/>
      <c r="AB184" s="276"/>
      <c r="AC184" s="276"/>
      <c r="AD184" s="276"/>
      <c r="AE184" s="276"/>
      <c r="AF184" s="276"/>
      <c r="AG184" s="276"/>
      <c r="AH184" s="276"/>
      <c r="AI184" s="276"/>
      <c r="AJ184" s="276"/>
      <c r="AK184" s="281"/>
      <c r="AL184" s="276"/>
      <c r="AM184" s="276"/>
      <c r="AN184" s="276"/>
      <c r="AO184" s="276"/>
      <c r="AP184" s="276"/>
      <c r="AQ184" s="276"/>
      <c r="AR184" s="276"/>
      <c r="AS184" s="281"/>
      <c r="AT184" s="276"/>
      <c r="AU184" s="276"/>
      <c r="AV184" s="276"/>
      <c r="AW184" s="276"/>
      <c r="AX184" s="276"/>
      <c r="AY184" s="276"/>
      <c r="AZ184" s="276"/>
      <c r="BA184" s="276"/>
      <c r="BB184" s="281"/>
      <c r="BC184" s="170"/>
      <c r="BD184" s="170"/>
      <c r="BE184" s="170"/>
      <c r="BF184" s="170"/>
      <c r="BG184" s="170"/>
      <c r="BH184" s="170"/>
      <c r="BI184" s="170"/>
      <c r="BJ184" s="276"/>
      <c r="BK184" s="281"/>
      <c r="BL184" s="276"/>
      <c r="BM184" s="276"/>
      <c r="BN184" s="276"/>
      <c r="BO184" s="276"/>
      <c r="BP184" s="276"/>
      <c r="BQ184" s="276"/>
    </row>
    <row r="185" spans="1:72" s="39" customFormat="1" ht="22.5" customHeight="1">
      <c r="J185" s="281"/>
      <c r="K185" s="276"/>
      <c r="L185" s="276"/>
      <c r="M185" s="276"/>
      <c r="N185" s="276"/>
      <c r="O185" s="276"/>
      <c r="P185" s="276"/>
      <c r="Q185" s="276"/>
      <c r="R185" s="275"/>
      <c r="S185" s="276"/>
      <c r="T185" s="276"/>
      <c r="U185" s="276"/>
      <c r="V185" s="276"/>
      <c r="W185" s="276"/>
      <c r="X185" s="276"/>
      <c r="Y185" s="276"/>
      <c r="Z185" s="281"/>
      <c r="AA185" s="276"/>
      <c r="AB185" s="276"/>
      <c r="AC185" s="276"/>
      <c r="AD185" s="276"/>
      <c r="AE185" s="276"/>
      <c r="AF185" s="276"/>
      <c r="AG185" s="276"/>
      <c r="AH185" s="276"/>
      <c r="AI185" s="276"/>
      <c r="AJ185" s="276"/>
      <c r="AK185" s="281"/>
      <c r="AL185" s="276"/>
      <c r="AM185" s="276"/>
      <c r="AN185" s="276"/>
      <c r="AO185" s="276"/>
      <c r="AP185" s="276"/>
      <c r="AQ185" s="276"/>
      <c r="AR185" s="276"/>
      <c r="AS185" s="281"/>
      <c r="AT185" s="276"/>
      <c r="AU185" s="276"/>
      <c r="AV185" s="276"/>
      <c r="AW185" s="276"/>
      <c r="AX185" s="276"/>
      <c r="AY185" s="276"/>
      <c r="AZ185" s="276"/>
      <c r="BA185" s="276"/>
      <c r="BB185" s="281"/>
      <c r="BC185" s="170"/>
      <c r="BD185" s="170"/>
      <c r="BE185" s="170"/>
      <c r="BF185" s="170"/>
      <c r="BG185" s="170"/>
      <c r="BH185" s="170"/>
      <c r="BI185" s="170"/>
      <c r="BJ185" s="276"/>
      <c r="BK185" s="281"/>
      <c r="BL185" s="276"/>
      <c r="BM185" s="276"/>
      <c r="BN185" s="276"/>
      <c r="BO185" s="276"/>
      <c r="BP185" s="276"/>
      <c r="BQ185" s="276"/>
    </row>
    <row r="186" spans="1:72" s="39" customFormat="1" ht="22.5" customHeight="1">
      <c r="J186" s="281"/>
      <c r="K186" s="276"/>
      <c r="L186" s="276"/>
      <c r="M186" s="276"/>
      <c r="N186" s="276"/>
      <c r="O186" s="276"/>
      <c r="P186" s="276"/>
      <c r="Q186" s="276"/>
      <c r="R186" s="275"/>
      <c r="S186" s="276"/>
      <c r="T186" s="276"/>
      <c r="U186" s="276"/>
      <c r="V186" s="276"/>
      <c r="W186" s="276"/>
      <c r="X186" s="276"/>
      <c r="Y186" s="276"/>
      <c r="Z186" s="281"/>
      <c r="AA186" s="276"/>
      <c r="AB186" s="276"/>
      <c r="AC186" s="276"/>
      <c r="AD186" s="276"/>
      <c r="AE186" s="276"/>
      <c r="AF186" s="276"/>
      <c r="AG186" s="276"/>
      <c r="AH186" s="276"/>
      <c r="AI186" s="276"/>
      <c r="AJ186" s="276"/>
      <c r="AK186" s="281"/>
      <c r="AL186" s="276"/>
      <c r="AM186" s="276"/>
      <c r="AN186" s="276"/>
      <c r="AO186" s="276"/>
      <c r="AP186" s="276"/>
      <c r="AQ186" s="276"/>
      <c r="AR186" s="276"/>
      <c r="AS186" s="281"/>
      <c r="AT186" s="276"/>
      <c r="AU186" s="276"/>
      <c r="AV186" s="276"/>
      <c r="AW186" s="276"/>
      <c r="AX186" s="276"/>
      <c r="AY186" s="276"/>
      <c r="AZ186" s="276"/>
      <c r="BA186" s="276"/>
      <c r="BB186" s="281"/>
      <c r="BC186" s="170"/>
      <c r="BD186" s="170"/>
      <c r="BE186" s="170"/>
      <c r="BF186" s="170"/>
      <c r="BG186" s="170"/>
      <c r="BH186" s="170"/>
      <c r="BI186" s="170"/>
      <c r="BJ186" s="276"/>
      <c r="BK186" s="281"/>
      <c r="BL186" s="276"/>
      <c r="BM186" s="276"/>
      <c r="BN186" s="276"/>
      <c r="BO186" s="276"/>
      <c r="BP186" s="276"/>
      <c r="BQ186" s="276"/>
    </row>
    <row r="187" spans="1:72" s="39" customFormat="1" ht="22.5" customHeight="1">
      <c r="J187" s="281"/>
      <c r="K187" s="276"/>
      <c r="L187" s="276"/>
      <c r="M187" s="276"/>
      <c r="N187" s="276"/>
      <c r="O187" s="276"/>
      <c r="P187" s="276"/>
      <c r="Q187" s="276"/>
      <c r="R187" s="275"/>
      <c r="S187" s="276"/>
      <c r="T187" s="276"/>
      <c r="U187" s="276"/>
      <c r="V187" s="276"/>
      <c r="W187" s="276"/>
      <c r="X187" s="276"/>
      <c r="Y187" s="276"/>
      <c r="Z187" s="281"/>
      <c r="AA187" s="276"/>
      <c r="AB187" s="276"/>
      <c r="AC187" s="276"/>
      <c r="AD187" s="276"/>
      <c r="AE187" s="276"/>
      <c r="AF187" s="276"/>
      <c r="AG187" s="276"/>
      <c r="AH187" s="276"/>
      <c r="AI187" s="276"/>
      <c r="AJ187" s="276"/>
      <c r="AK187" s="281"/>
      <c r="AL187" s="276"/>
      <c r="AM187" s="276"/>
      <c r="AN187" s="276"/>
      <c r="AO187" s="276"/>
      <c r="AP187" s="276"/>
      <c r="AQ187" s="276"/>
      <c r="AR187" s="276"/>
      <c r="AS187" s="281"/>
      <c r="AT187" s="276"/>
      <c r="AU187" s="276"/>
      <c r="AV187" s="276"/>
      <c r="AW187" s="276"/>
      <c r="AX187" s="276"/>
      <c r="AY187" s="276"/>
      <c r="AZ187" s="276"/>
      <c r="BA187" s="276"/>
      <c r="BB187" s="281"/>
      <c r="BC187" s="170"/>
      <c r="BD187" s="170"/>
      <c r="BE187" s="170"/>
      <c r="BF187" s="170"/>
      <c r="BG187" s="170"/>
      <c r="BH187" s="170"/>
      <c r="BI187" s="170"/>
      <c r="BJ187" s="276"/>
      <c r="BK187" s="281"/>
      <c r="BL187" s="276"/>
      <c r="BM187" s="276"/>
      <c r="BN187" s="276"/>
      <c r="BO187" s="276"/>
      <c r="BP187" s="276"/>
      <c r="BQ187" s="276"/>
    </row>
    <row r="188" spans="1:72" s="39" customFormat="1" ht="22.5" customHeight="1">
      <c r="A188" s="111"/>
      <c r="J188" s="281"/>
      <c r="K188" s="276"/>
      <c r="L188" s="276"/>
      <c r="M188" s="276"/>
      <c r="N188" s="276"/>
      <c r="O188" s="276"/>
      <c r="P188" s="276"/>
      <c r="Q188" s="290"/>
      <c r="R188" s="275"/>
      <c r="S188" s="299"/>
      <c r="T188" s="300"/>
      <c r="U188" s="301"/>
      <c r="V188" s="300"/>
      <c r="W188" s="258"/>
      <c r="X188" s="258"/>
      <c r="Y188" s="276"/>
      <c r="Z188" s="281"/>
      <c r="AA188" s="276"/>
      <c r="AB188" s="276"/>
      <c r="AC188" s="276"/>
      <c r="AD188" s="276"/>
      <c r="AE188" s="276"/>
      <c r="AF188" s="276"/>
      <c r="AG188" s="276"/>
      <c r="AH188" s="276"/>
      <c r="AI188" s="276"/>
      <c r="AJ188" s="276"/>
      <c r="AK188" s="281"/>
      <c r="AL188" s="276"/>
      <c r="AM188" s="276"/>
      <c r="AN188" s="276"/>
      <c r="AO188" s="276"/>
      <c r="AP188" s="276"/>
      <c r="AQ188" s="276"/>
      <c r="AR188" s="276"/>
      <c r="AS188" s="281"/>
      <c r="AT188" s="276"/>
      <c r="AU188" s="276"/>
      <c r="AV188" s="276"/>
      <c r="AW188" s="276"/>
      <c r="AX188" s="276"/>
      <c r="AY188" s="276"/>
      <c r="AZ188" s="276"/>
      <c r="BA188" s="276"/>
      <c r="BB188" s="281"/>
      <c r="BC188" s="170"/>
      <c r="BD188" s="170"/>
      <c r="BE188" s="170"/>
      <c r="BF188" s="170"/>
      <c r="BG188" s="170"/>
      <c r="BH188" s="170"/>
      <c r="BI188" s="170"/>
      <c r="BJ188" s="170"/>
      <c r="BK188" s="277"/>
      <c r="BL188" s="276"/>
      <c r="BM188" s="276"/>
      <c r="BN188" s="276"/>
      <c r="BO188" s="276"/>
      <c r="BP188" s="276"/>
      <c r="BQ188" s="276"/>
    </row>
    <row r="189" spans="1:72" s="39" customFormat="1" ht="22.5" customHeight="1">
      <c r="A189" s="111"/>
      <c r="J189" s="281"/>
      <c r="K189" s="276"/>
      <c r="L189" s="276"/>
      <c r="M189" s="276"/>
      <c r="N189" s="276"/>
      <c r="O189" s="276"/>
      <c r="P189" s="276"/>
      <c r="Q189" s="290"/>
      <c r="R189" s="275"/>
      <c r="S189" s="299"/>
      <c r="T189" s="300"/>
      <c r="U189" s="301"/>
      <c r="V189" s="300"/>
      <c r="W189" s="258"/>
      <c r="X189" s="258"/>
      <c r="Y189" s="276"/>
      <c r="Z189" s="281"/>
      <c r="AA189" s="276"/>
      <c r="AB189" s="276"/>
      <c r="AC189" s="276"/>
      <c r="AD189" s="276"/>
      <c r="AE189" s="276"/>
      <c r="AF189" s="276"/>
      <c r="AG189" s="276"/>
      <c r="AH189" s="276"/>
      <c r="AI189" s="276"/>
      <c r="AJ189" s="276"/>
      <c r="AK189" s="281"/>
      <c r="AL189" s="276"/>
      <c r="AM189" s="276"/>
      <c r="AN189" s="276"/>
      <c r="AO189" s="276"/>
      <c r="AP189" s="276"/>
      <c r="AQ189" s="276"/>
      <c r="AR189" s="276"/>
      <c r="AS189" s="281"/>
      <c r="AT189" s="276"/>
      <c r="AU189" s="276"/>
      <c r="AV189" s="276"/>
      <c r="AW189" s="276"/>
      <c r="AX189" s="276"/>
      <c r="AY189" s="276"/>
      <c r="AZ189" s="276"/>
      <c r="BA189" s="170"/>
      <c r="BB189" s="281"/>
      <c r="BC189" s="170"/>
      <c r="BD189" s="170"/>
      <c r="BE189" s="170"/>
      <c r="BF189" s="170"/>
      <c r="BG189" s="170"/>
      <c r="BH189" s="170"/>
      <c r="BI189" s="170"/>
      <c r="BJ189" s="170"/>
      <c r="BK189" s="277"/>
      <c r="BL189" s="276"/>
      <c r="BM189" s="276"/>
      <c r="BN189" s="276"/>
      <c r="BO189" s="276"/>
      <c r="BP189" s="276"/>
      <c r="BQ189" s="276"/>
    </row>
    <row r="190" spans="1:72" s="39" customFormat="1" ht="22.5" customHeight="1">
      <c r="A190" s="111"/>
      <c r="B190" s="111"/>
      <c r="C190" s="1728"/>
      <c r="D190" s="110"/>
      <c r="E190" s="112"/>
      <c r="F190" s="110"/>
      <c r="G190" s="110"/>
      <c r="H190" s="110"/>
      <c r="I190" s="110"/>
      <c r="J190" s="281"/>
      <c r="K190" s="276"/>
      <c r="L190" s="276"/>
      <c r="M190" s="276"/>
      <c r="N190" s="276"/>
      <c r="O190" s="276"/>
      <c r="P190" s="276"/>
      <c r="Q190" s="290"/>
      <c r="R190" s="275"/>
      <c r="S190" s="299"/>
      <c r="T190" s="300"/>
      <c r="U190" s="301"/>
      <c r="V190" s="300"/>
      <c r="W190" s="258"/>
      <c r="X190" s="258"/>
      <c r="Y190" s="276"/>
      <c r="Z190" s="281"/>
      <c r="AA190" s="276"/>
      <c r="AB190" s="276"/>
      <c r="AC190" s="276"/>
      <c r="AD190" s="276"/>
      <c r="AE190" s="276"/>
      <c r="AF190" s="276"/>
      <c r="AG190" s="276"/>
      <c r="AH190" s="276"/>
      <c r="AI190" s="276"/>
      <c r="AJ190" s="276"/>
      <c r="AK190" s="281"/>
      <c r="AL190" s="276"/>
      <c r="AM190" s="276"/>
      <c r="AN190" s="276"/>
      <c r="AO190" s="276"/>
      <c r="AP190" s="276"/>
      <c r="AQ190" s="276"/>
      <c r="AR190" s="276"/>
      <c r="AS190" s="281"/>
      <c r="AT190" s="276"/>
      <c r="AU190" s="276"/>
      <c r="AV190" s="276"/>
      <c r="AW190" s="276"/>
      <c r="AX190" s="276"/>
      <c r="AY190" s="276"/>
      <c r="AZ190" s="276"/>
      <c r="BA190" s="170"/>
      <c r="BB190" s="277"/>
      <c r="BC190" s="170"/>
      <c r="BD190" s="170"/>
      <c r="BE190" s="170"/>
      <c r="BF190" s="170"/>
      <c r="BG190" s="170"/>
      <c r="BH190" s="170"/>
      <c r="BI190" s="170"/>
      <c r="BJ190" s="170"/>
      <c r="BK190" s="277"/>
      <c r="BL190" s="276"/>
      <c r="BM190" s="276"/>
      <c r="BN190" s="276"/>
      <c r="BO190" s="276"/>
      <c r="BP190" s="276"/>
      <c r="BQ190" s="276"/>
      <c r="BR190" s="8"/>
      <c r="BS190" s="8"/>
      <c r="BT190" s="8"/>
    </row>
    <row r="191" spans="1:72" s="39" customFormat="1" ht="22.5" customHeight="1">
      <c r="A191" s="111"/>
      <c r="B191" s="111"/>
      <c r="C191" s="1728"/>
      <c r="D191" s="110"/>
      <c r="E191" s="112"/>
      <c r="F191" s="110"/>
      <c r="G191" s="110"/>
      <c r="H191" s="110"/>
      <c r="I191" s="110"/>
      <c r="J191" s="281"/>
      <c r="K191" s="276"/>
      <c r="L191" s="276"/>
      <c r="M191" s="276"/>
      <c r="N191" s="276"/>
      <c r="O191" s="276"/>
      <c r="P191" s="276"/>
      <c r="Q191" s="290"/>
      <c r="R191" s="275"/>
      <c r="S191" s="299"/>
      <c r="T191" s="300"/>
      <c r="U191" s="301"/>
      <c r="V191" s="300"/>
      <c r="W191" s="258"/>
      <c r="X191" s="258"/>
      <c r="Y191" s="276"/>
      <c r="Z191" s="281"/>
      <c r="AA191" s="276"/>
      <c r="AB191" s="276"/>
      <c r="AC191" s="276"/>
      <c r="AD191" s="276"/>
      <c r="AE191" s="276"/>
      <c r="AF191" s="276"/>
      <c r="AG191" s="276"/>
      <c r="AH191" s="276"/>
      <c r="AI191" s="276"/>
      <c r="AJ191" s="276"/>
      <c r="AK191" s="281"/>
      <c r="AL191" s="276"/>
      <c r="AM191" s="276"/>
      <c r="AN191" s="276"/>
      <c r="AO191" s="276"/>
      <c r="AP191" s="276"/>
      <c r="AQ191" s="276"/>
      <c r="AR191" s="276"/>
      <c r="AS191" s="281"/>
      <c r="AT191" s="170"/>
      <c r="AU191" s="170"/>
      <c r="AV191" s="170"/>
      <c r="AW191" s="170"/>
      <c r="AX191" s="170"/>
      <c r="AY191" s="170"/>
      <c r="AZ191" s="170"/>
      <c r="BA191" s="170"/>
      <c r="BB191" s="277"/>
      <c r="BC191" s="170"/>
      <c r="BD191" s="170"/>
      <c r="BE191" s="170"/>
      <c r="BF191" s="170"/>
      <c r="BG191" s="170"/>
      <c r="BH191" s="170"/>
      <c r="BI191" s="170"/>
      <c r="BJ191" s="170"/>
      <c r="BK191" s="277"/>
      <c r="BL191" s="276"/>
      <c r="BM191" s="276"/>
      <c r="BN191" s="276"/>
      <c r="BO191" s="276"/>
      <c r="BP191" s="276"/>
      <c r="BQ191" s="276"/>
      <c r="BR191" s="8"/>
      <c r="BS191" s="8"/>
      <c r="BT191" s="8"/>
    </row>
    <row r="192" spans="1:72" s="39" customFormat="1" ht="22.5" customHeight="1">
      <c r="A192" s="111"/>
      <c r="B192" s="111"/>
      <c r="C192" s="1728"/>
      <c r="D192" s="110"/>
      <c r="E192" s="112"/>
      <c r="F192" s="110"/>
      <c r="G192" s="110"/>
      <c r="H192" s="110"/>
      <c r="I192" s="110"/>
      <c r="J192" s="281"/>
      <c r="K192" s="276"/>
      <c r="L192" s="276"/>
      <c r="M192" s="276"/>
      <c r="N192" s="276"/>
      <c r="O192" s="276"/>
      <c r="P192" s="276"/>
      <c r="Q192" s="290"/>
      <c r="R192" s="275"/>
      <c r="S192" s="299"/>
      <c r="T192" s="300"/>
      <c r="U192" s="301"/>
      <c r="V192" s="300"/>
      <c r="W192" s="258"/>
      <c r="X192" s="258"/>
      <c r="Y192" s="276"/>
      <c r="Z192" s="281"/>
      <c r="AA192" s="276"/>
      <c r="AB192" s="276"/>
      <c r="AC192" s="276"/>
      <c r="AD192" s="276"/>
      <c r="AE192" s="276"/>
      <c r="AF192" s="276"/>
      <c r="AG192" s="276"/>
      <c r="AH192" s="276"/>
      <c r="AI192" s="276"/>
      <c r="AJ192" s="276"/>
      <c r="AK192" s="281"/>
      <c r="AL192" s="276"/>
      <c r="AM192" s="276"/>
      <c r="AN192" s="276"/>
      <c r="AO192" s="276"/>
      <c r="AP192" s="276"/>
      <c r="AQ192" s="276"/>
      <c r="AR192" s="276"/>
      <c r="AS192" s="281"/>
      <c r="AT192" s="170"/>
      <c r="AU192" s="170"/>
      <c r="AV192" s="170"/>
      <c r="AW192" s="170"/>
      <c r="AX192" s="170"/>
      <c r="AY192" s="170"/>
      <c r="AZ192" s="170"/>
      <c r="BA192" s="170"/>
      <c r="BB192" s="277"/>
      <c r="BC192" s="170"/>
      <c r="BD192" s="170"/>
      <c r="BE192" s="170"/>
      <c r="BF192" s="170"/>
      <c r="BG192" s="170"/>
      <c r="BH192" s="170"/>
      <c r="BI192" s="170"/>
      <c r="BJ192" s="170"/>
      <c r="BK192" s="277"/>
      <c r="BL192" s="276"/>
      <c r="BM192" s="276"/>
      <c r="BN192" s="276"/>
      <c r="BO192" s="276"/>
      <c r="BP192" s="276"/>
      <c r="BQ192" s="276"/>
      <c r="BR192" s="8"/>
      <c r="BS192" s="8"/>
      <c r="BT192" s="8"/>
    </row>
    <row r="193" spans="64:69" ht="22.5" customHeight="1">
      <c r="BL193" s="276"/>
      <c r="BM193" s="276"/>
      <c r="BN193" s="276"/>
      <c r="BO193" s="276"/>
      <c r="BP193" s="276"/>
      <c r="BQ193" s="276"/>
    </row>
    <row r="194" spans="64:69" ht="22.5" customHeight="1"/>
    <row r="195" spans="64:69" ht="22.5" customHeight="1"/>
    <row r="196" spans="64:69" ht="22.5" customHeight="1"/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B3:BB4"/>
    <mergeCell ref="BR3:BR4"/>
    <mergeCell ref="BS3:BS4"/>
    <mergeCell ref="BE3:BE4"/>
    <mergeCell ref="BF3:BF4"/>
    <mergeCell ref="BD3:BD4"/>
    <mergeCell ref="AM3:AM4"/>
    <mergeCell ref="BC5:BG5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BA3:BA4"/>
    <mergeCell ref="AW3:AW4"/>
    <mergeCell ref="K3:K4"/>
    <mergeCell ref="L3:L4"/>
    <mergeCell ref="M3:M4"/>
    <mergeCell ref="N3:N4"/>
    <mergeCell ref="O3:O4"/>
    <mergeCell ref="AN3:AN4"/>
    <mergeCell ref="AO3:AO4"/>
    <mergeCell ref="AP3:AP4"/>
    <mergeCell ref="AV3:AV4"/>
    <mergeCell ref="AS3:AS4"/>
    <mergeCell ref="AT3:AT4"/>
    <mergeCell ref="AU3:AU4"/>
    <mergeCell ref="AX3:AX4"/>
    <mergeCell ref="AY3:AY4"/>
  </mergeCells>
  <pageMargins left="0.62992125984252001" right="0.511811023622047" top="0.39370078740157499" bottom="0.511811023622047" header="0.25" footer="0"/>
  <pageSetup paperSize="119" scale="99" firstPageNumber="60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E26" activePane="bottomRight" state="frozen"/>
      <selection activeCell="F85" sqref="F85"/>
      <selection pane="topRight" activeCell="F85" sqref="F85"/>
      <selection pane="bottomLeft" activeCell="F85" sqref="F85"/>
      <selection pane="bottomRight" activeCell="U2" sqref="U2:V42"/>
    </sheetView>
  </sheetViews>
  <sheetFormatPr defaultColWidth="9.140625" defaultRowHeight="12.75"/>
  <cols>
    <col min="1" max="1" width="2.28515625" style="438" customWidth="1"/>
    <col min="2" max="2" width="3" style="8" customWidth="1"/>
    <col min="3" max="3" width="2.85546875" style="1026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62" customFormat="1" ht="14.25" customHeight="1">
      <c r="A1" s="2339" t="s">
        <v>1651</v>
      </c>
      <c r="B1" s="2339"/>
      <c r="C1" s="2339"/>
      <c r="D1" s="2339"/>
      <c r="E1" s="2339"/>
      <c r="F1" s="2339"/>
      <c r="G1" s="2339"/>
      <c r="H1" s="2339"/>
      <c r="I1" s="2339"/>
      <c r="J1" s="2338" t="s">
        <v>1650</v>
      </c>
      <c r="K1" s="2338"/>
      <c r="L1" s="2338"/>
      <c r="M1" s="2338"/>
      <c r="N1" s="2338"/>
      <c r="O1" s="2338"/>
      <c r="P1" s="2338"/>
      <c r="Q1" s="2338"/>
      <c r="R1" s="2338"/>
      <c r="S1" s="1254"/>
      <c r="T1" s="2340" t="s">
        <v>1654</v>
      </c>
      <c r="U1" s="2340"/>
      <c r="V1" s="2340"/>
    </row>
    <row r="2" spans="1:23" s="82" customFormat="1" ht="48" customHeight="1">
      <c r="A2" s="2342" t="s">
        <v>25</v>
      </c>
      <c r="B2" s="2343"/>
      <c r="C2" s="2343"/>
      <c r="D2" s="2344"/>
      <c r="E2" s="1020" t="s">
        <v>923</v>
      </c>
      <c r="F2" s="1020" t="s">
        <v>924</v>
      </c>
      <c r="G2" s="1020" t="s">
        <v>1962</v>
      </c>
      <c r="H2" s="1020" t="s">
        <v>1961</v>
      </c>
      <c r="I2" s="1020" t="s">
        <v>925</v>
      </c>
      <c r="J2" s="1020" t="s">
        <v>926</v>
      </c>
      <c r="K2" s="1020" t="s">
        <v>916</v>
      </c>
      <c r="L2" s="1020" t="s">
        <v>927</v>
      </c>
      <c r="M2" s="1020" t="s">
        <v>928</v>
      </c>
      <c r="N2" s="1020" t="s">
        <v>929</v>
      </c>
      <c r="O2" s="1253" t="s">
        <v>930</v>
      </c>
      <c r="P2" s="1020" t="s">
        <v>1190</v>
      </c>
      <c r="Q2" s="902" t="s">
        <v>1648</v>
      </c>
      <c r="R2" s="1020" t="s">
        <v>1649</v>
      </c>
      <c r="S2" s="1253" t="s">
        <v>1669</v>
      </c>
      <c r="T2" s="1020" t="s">
        <v>2239</v>
      </c>
      <c r="U2" s="1253" t="s">
        <v>2240</v>
      </c>
      <c r="V2" s="1733" t="s">
        <v>2664</v>
      </c>
    </row>
    <row r="3" spans="1:23" s="82" customFormat="1" ht="10.5" customHeight="1">
      <c r="A3" s="2345"/>
      <c r="B3" s="2346"/>
      <c r="C3" s="2346"/>
      <c r="D3" s="2347"/>
      <c r="E3" s="1020">
        <v>1</v>
      </c>
      <c r="F3" s="1020">
        <v>2</v>
      </c>
      <c r="G3" s="1020">
        <v>3</v>
      </c>
      <c r="H3" s="1020">
        <v>4</v>
      </c>
      <c r="I3" s="1020">
        <v>5</v>
      </c>
      <c r="J3" s="1020">
        <v>6</v>
      </c>
      <c r="K3" s="1020">
        <v>7</v>
      </c>
      <c r="L3" s="1020">
        <v>8</v>
      </c>
      <c r="M3" s="1020">
        <v>9</v>
      </c>
      <c r="N3" s="1020">
        <v>10</v>
      </c>
      <c r="O3" s="1020">
        <v>11</v>
      </c>
      <c r="P3" s="1020">
        <v>12</v>
      </c>
      <c r="Q3" s="1020">
        <v>13</v>
      </c>
      <c r="R3" s="1020">
        <v>14</v>
      </c>
      <c r="S3" s="1253">
        <v>15</v>
      </c>
      <c r="T3" s="1020">
        <v>16</v>
      </c>
      <c r="U3" s="1020">
        <v>17</v>
      </c>
      <c r="V3" s="1020">
        <v>18</v>
      </c>
      <c r="W3" s="71"/>
    </row>
    <row r="4" spans="1:23" s="51" customFormat="1" ht="13.5" customHeight="1">
      <c r="A4" s="431" t="s">
        <v>82</v>
      </c>
      <c r="B4" s="2334" t="s">
        <v>83</v>
      </c>
      <c r="C4" s="2334"/>
      <c r="D4" s="2334"/>
      <c r="E4" s="500">
        <v>6</v>
      </c>
      <c r="F4" s="500">
        <v>6</v>
      </c>
      <c r="G4" s="500">
        <v>6</v>
      </c>
      <c r="H4" s="500">
        <v>5</v>
      </c>
      <c r="I4" s="500">
        <v>5</v>
      </c>
      <c r="J4" s="500">
        <v>5</v>
      </c>
      <c r="K4" s="500">
        <v>5</v>
      </c>
      <c r="L4" s="500">
        <v>5</v>
      </c>
      <c r="M4" s="500">
        <v>5</v>
      </c>
      <c r="N4" s="500">
        <v>5</v>
      </c>
      <c r="O4" s="500">
        <v>5</v>
      </c>
      <c r="P4" s="500">
        <v>5</v>
      </c>
      <c r="Q4" s="500">
        <v>5</v>
      </c>
      <c r="R4" s="500">
        <v>5</v>
      </c>
      <c r="S4" s="500">
        <v>5</v>
      </c>
      <c r="T4" s="500">
        <v>4</v>
      </c>
      <c r="U4" s="500">
        <v>4</v>
      </c>
      <c r="V4" s="500">
        <v>4</v>
      </c>
    </row>
    <row r="5" spans="1:23" s="400" customFormat="1" ht="13.5" customHeight="1">
      <c r="A5" s="432" t="s">
        <v>523</v>
      </c>
      <c r="B5" s="2368" t="s">
        <v>917</v>
      </c>
      <c r="C5" s="2368"/>
      <c r="D5" s="2368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</row>
    <row r="6" spans="1:23" s="400" customFormat="1" ht="12">
      <c r="A6" s="2334" t="s">
        <v>985</v>
      </c>
      <c r="B6" s="2334"/>
      <c r="C6" s="2334"/>
      <c r="D6" s="2334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</row>
    <row r="7" spans="1:23" s="400" customFormat="1" ht="12" customHeight="1">
      <c r="A7" s="434"/>
      <c r="B7" s="2369" t="s">
        <v>903</v>
      </c>
      <c r="C7" s="2369"/>
      <c r="D7" s="2369"/>
      <c r="E7" s="262">
        <v>8.5</v>
      </c>
      <c r="F7" s="262">
        <v>8.5</v>
      </c>
      <c r="G7" s="262">
        <v>8.5</v>
      </c>
      <c r="H7" s="262">
        <v>8.5</v>
      </c>
      <c r="I7" s="262">
        <v>7.5</v>
      </c>
      <c r="J7" s="262">
        <v>7.5</v>
      </c>
      <c r="K7" s="262">
        <v>7.5</v>
      </c>
      <c r="L7" s="262">
        <v>7.5</v>
      </c>
      <c r="M7" s="262">
        <v>7.5</v>
      </c>
      <c r="N7" s="262">
        <v>7.5</v>
      </c>
      <c r="O7" s="262">
        <v>7.5</v>
      </c>
      <c r="P7" s="262">
        <v>7.5</v>
      </c>
      <c r="Q7" s="262">
        <v>7.5</v>
      </c>
      <c r="R7" s="262">
        <v>5</v>
      </c>
      <c r="S7" s="262">
        <v>7.5</v>
      </c>
      <c r="T7" s="262">
        <v>7.5</v>
      </c>
      <c r="U7" s="262">
        <v>7.5</v>
      </c>
      <c r="V7" s="262">
        <v>7.5</v>
      </c>
    </row>
    <row r="8" spans="1:23" s="401" customFormat="1" ht="13.5" customHeight="1">
      <c r="A8" s="442"/>
      <c r="B8" s="2350" t="s">
        <v>913</v>
      </c>
      <c r="C8" s="2350"/>
      <c r="D8" s="2350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502"/>
    </row>
    <row r="9" spans="1:23" s="400" customFormat="1" ht="12.75" customHeight="1">
      <c r="A9" s="434"/>
      <c r="B9" s="403"/>
      <c r="C9" s="2349" t="s">
        <v>912</v>
      </c>
      <c r="D9" s="2349"/>
      <c r="E9" s="262">
        <v>10.5</v>
      </c>
      <c r="F9" s="262">
        <v>10.5</v>
      </c>
      <c r="G9" s="262">
        <v>10.5</v>
      </c>
      <c r="H9" s="262">
        <v>10.5</v>
      </c>
      <c r="I9" s="262">
        <v>9.5</v>
      </c>
      <c r="J9" s="262">
        <v>9.5</v>
      </c>
      <c r="K9" s="262">
        <v>9.5</v>
      </c>
      <c r="L9" s="262">
        <v>9.5</v>
      </c>
      <c r="M9" s="262">
        <v>9.5</v>
      </c>
      <c r="N9" s="262">
        <v>9.5</v>
      </c>
      <c r="O9" s="262">
        <v>10.4</v>
      </c>
      <c r="P9" s="262">
        <v>10.4</v>
      </c>
      <c r="Q9" s="262">
        <v>10.4</v>
      </c>
      <c r="R9" s="262">
        <v>5</v>
      </c>
      <c r="S9" s="262">
        <v>10.199999999999999</v>
      </c>
      <c r="T9" s="262">
        <v>10.199999999999999</v>
      </c>
      <c r="U9" s="262">
        <v>10.199999999999999</v>
      </c>
      <c r="V9" s="262">
        <v>10.199999999999999</v>
      </c>
    </row>
    <row r="10" spans="1:23" s="400" customFormat="1" ht="12.75" customHeight="1">
      <c r="A10" s="433"/>
      <c r="B10" s="408"/>
      <c r="C10" s="2365" t="s">
        <v>911</v>
      </c>
      <c r="D10" s="2365"/>
      <c r="E10" s="336">
        <v>11.5</v>
      </c>
      <c r="F10" s="336">
        <v>11.5</v>
      </c>
      <c r="G10" s="336">
        <v>11.5</v>
      </c>
      <c r="H10" s="336">
        <v>11.5</v>
      </c>
      <c r="I10" s="336">
        <v>10.5</v>
      </c>
      <c r="J10" s="336">
        <v>10.5</v>
      </c>
      <c r="K10" s="336">
        <v>10.5</v>
      </c>
      <c r="L10" s="336">
        <v>10.5</v>
      </c>
      <c r="M10" s="336">
        <v>10.5</v>
      </c>
      <c r="N10" s="336">
        <v>10.5</v>
      </c>
      <c r="O10" s="336">
        <v>11.4</v>
      </c>
      <c r="P10" s="336">
        <v>11.4</v>
      </c>
      <c r="Q10" s="336">
        <v>11.4</v>
      </c>
      <c r="R10" s="336">
        <v>5.5</v>
      </c>
      <c r="S10" s="336">
        <v>10.7</v>
      </c>
      <c r="T10" s="336">
        <v>10.7</v>
      </c>
      <c r="U10" s="336">
        <v>10.7</v>
      </c>
      <c r="V10" s="336">
        <v>10.7</v>
      </c>
    </row>
    <row r="11" spans="1:23" s="400" customFormat="1" ht="12.75" customHeight="1">
      <c r="A11" s="434"/>
      <c r="B11" s="403"/>
      <c r="C11" s="2349" t="s">
        <v>910</v>
      </c>
      <c r="D11" s="2349"/>
      <c r="E11" s="262">
        <v>12.5</v>
      </c>
      <c r="F11" s="262">
        <v>12.5</v>
      </c>
      <c r="G11" s="262">
        <v>12.5</v>
      </c>
      <c r="H11" s="262">
        <v>12.5</v>
      </c>
      <c r="I11" s="262">
        <v>11.5</v>
      </c>
      <c r="J11" s="262">
        <v>11.5</v>
      </c>
      <c r="K11" s="262">
        <v>11.5</v>
      </c>
      <c r="L11" s="262">
        <v>11.5</v>
      </c>
      <c r="M11" s="262">
        <v>11.5</v>
      </c>
      <c r="N11" s="262">
        <v>11.5</v>
      </c>
      <c r="O11" s="262" t="s">
        <v>2241</v>
      </c>
      <c r="P11" s="262" t="s">
        <v>2241</v>
      </c>
      <c r="Q11" s="262" t="s">
        <v>2251</v>
      </c>
      <c r="R11" s="262" t="s">
        <v>2252</v>
      </c>
      <c r="S11" s="262" t="s">
        <v>2251</v>
      </c>
      <c r="T11" s="262" t="s">
        <v>2251</v>
      </c>
      <c r="U11" s="262" t="s">
        <v>2251</v>
      </c>
      <c r="V11" s="262" t="s">
        <v>2251</v>
      </c>
    </row>
    <row r="12" spans="1:23" s="401" customFormat="1" ht="12.75" customHeight="1">
      <c r="A12" s="442"/>
      <c r="B12" s="2350" t="s">
        <v>906</v>
      </c>
      <c r="C12" s="2350"/>
      <c r="D12" s="2350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Q12" s="502"/>
      <c r="R12" s="502"/>
      <c r="S12" s="502"/>
      <c r="T12" s="502"/>
      <c r="U12" s="502"/>
      <c r="V12" s="502"/>
    </row>
    <row r="13" spans="1:23" s="400" customFormat="1" ht="12.75" customHeight="1">
      <c r="A13" s="434"/>
      <c r="B13" s="403"/>
      <c r="C13" s="2369" t="s">
        <v>912</v>
      </c>
      <c r="D13" s="2369"/>
      <c r="E13" s="262">
        <v>9.5</v>
      </c>
      <c r="F13" s="262">
        <v>9.5</v>
      </c>
      <c r="G13" s="262">
        <v>9.5</v>
      </c>
      <c r="H13" s="262">
        <v>9.5</v>
      </c>
      <c r="I13" s="262">
        <v>8.5</v>
      </c>
      <c r="J13" s="262">
        <v>8.5</v>
      </c>
      <c r="K13" s="262">
        <v>8.5</v>
      </c>
      <c r="L13" s="262">
        <v>8.5</v>
      </c>
      <c r="M13" s="262">
        <v>8.5</v>
      </c>
      <c r="N13" s="262">
        <v>8.5</v>
      </c>
      <c r="O13" s="262">
        <v>10</v>
      </c>
      <c r="P13" s="262">
        <v>10</v>
      </c>
      <c r="Q13" s="262">
        <v>10</v>
      </c>
      <c r="R13" s="262">
        <v>4</v>
      </c>
      <c r="S13" s="262">
        <v>9</v>
      </c>
      <c r="T13" s="262">
        <v>9</v>
      </c>
      <c r="U13" s="262">
        <v>9</v>
      </c>
      <c r="V13" s="262">
        <v>9</v>
      </c>
    </row>
    <row r="14" spans="1:23" s="400" customFormat="1" ht="12.75" customHeight="1">
      <c r="A14" s="433"/>
      <c r="B14" s="408"/>
      <c r="C14" s="2370" t="s">
        <v>911</v>
      </c>
      <c r="D14" s="2370"/>
      <c r="E14" s="336">
        <v>10</v>
      </c>
      <c r="F14" s="336">
        <v>10</v>
      </c>
      <c r="G14" s="336">
        <v>10</v>
      </c>
      <c r="H14" s="336">
        <v>10</v>
      </c>
      <c r="I14" s="336">
        <v>9</v>
      </c>
      <c r="J14" s="336">
        <v>9</v>
      </c>
      <c r="K14" s="336">
        <v>9</v>
      </c>
      <c r="L14" s="336">
        <v>9</v>
      </c>
      <c r="M14" s="336">
        <v>9</v>
      </c>
      <c r="N14" s="336">
        <v>9</v>
      </c>
      <c r="O14" s="336">
        <v>10.5</v>
      </c>
      <c r="P14" s="336">
        <v>10.5</v>
      </c>
      <c r="Q14" s="336">
        <v>10.5</v>
      </c>
      <c r="R14" s="336">
        <v>4.5</v>
      </c>
      <c r="S14" s="336">
        <v>9.5</v>
      </c>
      <c r="T14" s="336">
        <v>9.5</v>
      </c>
      <c r="U14" s="336">
        <v>9.5</v>
      </c>
      <c r="V14" s="336">
        <v>9.5</v>
      </c>
    </row>
    <row r="15" spans="1:23" s="400" customFormat="1" ht="12.75" customHeight="1">
      <c r="A15" s="434"/>
      <c r="B15" s="403"/>
      <c r="C15" s="2369" t="s">
        <v>910</v>
      </c>
      <c r="D15" s="2369"/>
      <c r="E15" s="262">
        <v>10.5</v>
      </c>
      <c r="F15" s="262">
        <v>10.5</v>
      </c>
      <c r="G15" s="262">
        <v>10.5</v>
      </c>
      <c r="H15" s="262">
        <v>10.5</v>
      </c>
      <c r="I15" s="262">
        <v>9.5</v>
      </c>
      <c r="J15" s="262">
        <v>9.5</v>
      </c>
      <c r="K15" s="262">
        <v>9.5</v>
      </c>
      <c r="L15" s="262">
        <v>9.5</v>
      </c>
      <c r="M15" s="262">
        <v>9.5</v>
      </c>
      <c r="N15" s="262">
        <v>9.5</v>
      </c>
      <c r="O15" s="262">
        <v>11</v>
      </c>
      <c r="P15" s="262">
        <v>11</v>
      </c>
      <c r="Q15" s="262">
        <v>11</v>
      </c>
      <c r="R15" s="262">
        <v>5</v>
      </c>
      <c r="S15" s="262">
        <v>10</v>
      </c>
      <c r="T15" s="262">
        <v>10</v>
      </c>
      <c r="U15" s="262">
        <v>10</v>
      </c>
      <c r="V15" s="262">
        <v>10</v>
      </c>
    </row>
    <row r="16" spans="1:23" s="400" customFormat="1" ht="13.5" customHeight="1">
      <c r="A16" s="2351" t="s">
        <v>986</v>
      </c>
      <c r="B16" s="2351"/>
      <c r="C16" s="2351"/>
      <c r="D16" s="2351"/>
      <c r="E16" s="305"/>
      <c r="F16" s="305"/>
      <c r="G16" s="305"/>
      <c r="H16" s="305"/>
      <c r="I16" s="305"/>
      <c r="J16" s="305"/>
      <c r="K16" s="305"/>
      <c r="L16" s="310"/>
      <c r="M16" s="310"/>
      <c r="N16" s="310"/>
      <c r="O16" s="310"/>
      <c r="P16" s="310"/>
      <c r="Q16" s="310"/>
      <c r="R16" s="310"/>
      <c r="S16" s="310"/>
      <c r="T16" s="310"/>
      <c r="U16" s="310"/>
      <c r="V16" s="310"/>
    </row>
    <row r="17" spans="1:22" s="400" customFormat="1" ht="12" customHeight="1">
      <c r="A17" s="436"/>
      <c r="B17" s="2367" t="s">
        <v>918</v>
      </c>
      <c r="C17" s="2367"/>
      <c r="D17" s="2367"/>
      <c r="E17" s="240">
        <v>13.5</v>
      </c>
      <c r="F17" s="240">
        <v>12</v>
      </c>
      <c r="G17" s="240">
        <v>12</v>
      </c>
      <c r="H17" s="240">
        <v>12</v>
      </c>
      <c r="I17" s="240">
        <v>12</v>
      </c>
      <c r="J17" s="240">
        <v>11.5</v>
      </c>
      <c r="K17" s="240">
        <v>11.5</v>
      </c>
      <c r="L17" s="240">
        <v>10</v>
      </c>
      <c r="M17" s="268">
        <v>10</v>
      </c>
      <c r="N17" s="268">
        <v>10</v>
      </c>
      <c r="O17" s="268" t="s">
        <v>2242</v>
      </c>
      <c r="P17" s="268" t="s">
        <v>2242</v>
      </c>
      <c r="Q17" s="268" t="s">
        <v>2253</v>
      </c>
      <c r="R17" s="268" t="s">
        <v>2253</v>
      </c>
      <c r="S17" s="268" t="s">
        <v>2253</v>
      </c>
      <c r="T17" s="268" t="s">
        <v>2253</v>
      </c>
      <c r="U17" s="268" t="s">
        <v>2253</v>
      </c>
      <c r="V17" s="268" t="s">
        <v>2253</v>
      </c>
    </row>
    <row r="18" spans="1:22" s="400" customFormat="1" ht="12" customHeight="1">
      <c r="A18" s="435"/>
      <c r="B18" s="2366" t="s">
        <v>919</v>
      </c>
      <c r="C18" s="2366"/>
      <c r="D18" s="2366"/>
      <c r="E18" s="305">
        <v>14.5</v>
      </c>
      <c r="F18" s="305">
        <v>12.5</v>
      </c>
      <c r="G18" s="305">
        <v>12.5</v>
      </c>
      <c r="H18" s="305">
        <v>12.5</v>
      </c>
      <c r="I18" s="305">
        <v>12.5</v>
      </c>
      <c r="J18" s="305">
        <v>12</v>
      </c>
      <c r="K18" s="305">
        <v>12</v>
      </c>
      <c r="L18" s="305">
        <v>10.5</v>
      </c>
      <c r="M18" s="310">
        <v>10.5</v>
      </c>
      <c r="N18" s="310">
        <v>10.5</v>
      </c>
      <c r="O18" s="310" t="s">
        <v>2243</v>
      </c>
      <c r="P18" s="305" t="s">
        <v>2243</v>
      </c>
      <c r="Q18" s="305" t="s">
        <v>2254</v>
      </c>
      <c r="R18" s="305" t="s">
        <v>2254</v>
      </c>
      <c r="S18" s="305" t="s">
        <v>2254</v>
      </c>
      <c r="T18" s="305" t="s">
        <v>2254</v>
      </c>
      <c r="U18" s="305" t="s">
        <v>2254</v>
      </c>
      <c r="V18" s="305" t="s">
        <v>2254</v>
      </c>
    </row>
    <row r="19" spans="1:22" s="400" customFormat="1" ht="12" customHeight="1">
      <c r="A19" s="436"/>
      <c r="B19" s="2348" t="s">
        <v>920</v>
      </c>
      <c r="C19" s="2348"/>
      <c r="D19" s="2348"/>
      <c r="E19" s="503" t="s">
        <v>602</v>
      </c>
      <c r="F19" s="503" t="s">
        <v>602</v>
      </c>
      <c r="G19" s="503" t="s">
        <v>602</v>
      </c>
      <c r="H19" s="503" t="s">
        <v>602</v>
      </c>
      <c r="I19" s="503" t="s">
        <v>602</v>
      </c>
      <c r="J19" s="503">
        <v>12.5</v>
      </c>
      <c r="K19" s="378">
        <v>12.5</v>
      </c>
      <c r="L19" s="240">
        <v>12.5</v>
      </c>
      <c r="M19" s="240">
        <v>11</v>
      </c>
      <c r="N19" s="268">
        <v>11</v>
      </c>
      <c r="O19" s="268" t="s">
        <v>2243</v>
      </c>
      <c r="P19" s="268" t="s">
        <v>2243</v>
      </c>
      <c r="Q19" s="268" t="s">
        <v>2255</v>
      </c>
      <c r="R19" s="268" t="s">
        <v>2255</v>
      </c>
      <c r="S19" s="268" t="s">
        <v>2255</v>
      </c>
      <c r="T19" s="268" t="s">
        <v>2255</v>
      </c>
      <c r="U19" s="268" t="s">
        <v>2255</v>
      </c>
      <c r="V19" s="268" t="s">
        <v>2255</v>
      </c>
    </row>
    <row r="20" spans="1:22" s="400" customFormat="1" ht="12.75" customHeight="1">
      <c r="A20" s="435"/>
      <c r="B20" s="2353" t="s">
        <v>921</v>
      </c>
      <c r="C20" s="2353"/>
      <c r="D20" s="2353"/>
      <c r="E20" s="504" t="s">
        <v>602</v>
      </c>
      <c r="F20" s="504" t="s">
        <v>602</v>
      </c>
      <c r="G20" s="504" t="s">
        <v>602</v>
      </c>
      <c r="H20" s="504" t="s">
        <v>602</v>
      </c>
      <c r="I20" s="504" t="s">
        <v>602</v>
      </c>
      <c r="J20" s="504" t="s">
        <v>602</v>
      </c>
      <c r="K20" s="504" t="s">
        <v>602</v>
      </c>
      <c r="L20" s="504" t="s">
        <v>602</v>
      </c>
      <c r="M20" s="504">
        <v>11.04</v>
      </c>
      <c r="N20" s="310">
        <v>11.04</v>
      </c>
      <c r="O20" s="310" t="s">
        <v>2244</v>
      </c>
      <c r="P20" s="309" t="s">
        <v>2244</v>
      </c>
      <c r="Q20" s="309" t="s">
        <v>2256</v>
      </c>
      <c r="R20" s="309" t="s">
        <v>2256</v>
      </c>
      <c r="S20" s="309" t="s">
        <v>2256</v>
      </c>
      <c r="T20" s="309" t="s">
        <v>2256</v>
      </c>
      <c r="U20" s="309" t="s">
        <v>2256</v>
      </c>
      <c r="V20" s="309" t="s">
        <v>2256</v>
      </c>
    </row>
    <row r="21" spans="1:22" s="400" customFormat="1" ht="12.75" customHeight="1">
      <c r="A21" s="2352" t="s">
        <v>1422</v>
      </c>
      <c r="B21" s="2352"/>
      <c r="C21" s="2352"/>
      <c r="D21" s="2352"/>
      <c r="E21" s="175"/>
      <c r="F21" s="175"/>
      <c r="G21" s="175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</row>
    <row r="22" spans="1:22" s="400" customFormat="1" ht="12.75" customHeight="1">
      <c r="A22" s="435"/>
      <c r="B22" s="410"/>
      <c r="C22" s="2341" t="s">
        <v>897</v>
      </c>
      <c r="D22" s="2341"/>
      <c r="E22" s="430" t="s">
        <v>896</v>
      </c>
      <c r="F22" s="430" t="s">
        <v>896</v>
      </c>
      <c r="G22" s="430" t="s">
        <v>896</v>
      </c>
      <c r="H22" s="430" t="s">
        <v>896</v>
      </c>
      <c r="I22" s="430" t="s">
        <v>896</v>
      </c>
      <c r="J22" s="430" t="s">
        <v>896</v>
      </c>
      <c r="K22" s="430" t="s">
        <v>896</v>
      </c>
      <c r="L22" s="430" t="s">
        <v>896</v>
      </c>
      <c r="M22" s="430" t="s">
        <v>896</v>
      </c>
      <c r="N22" s="430" t="s">
        <v>896</v>
      </c>
      <c r="O22" s="430" t="s">
        <v>896</v>
      </c>
      <c r="P22" s="430" t="s">
        <v>896</v>
      </c>
      <c r="Q22" s="430" t="s">
        <v>896</v>
      </c>
      <c r="R22" s="430" t="s">
        <v>896</v>
      </c>
      <c r="S22" s="430" t="s">
        <v>896</v>
      </c>
      <c r="T22" s="430" t="s">
        <v>896</v>
      </c>
      <c r="U22" s="430" t="s">
        <v>896</v>
      </c>
      <c r="V22" s="430" t="s">
        <v>896</v>
      </c>
    </row>
    <row r="23" spans="1:22" s="400" customFormat="1" ht="12.75" customHeight="1">
      <c r="A23" s="436"/>
      <c r="B23" s="175"/>
      <c r="C23" s="2357" t="s">
        <v>898</v>
      </c>
      <c r="D23" s="2357"/>
      <c r="E23" s="452">
        <v>9</v>
      </c>
      <c r="F23" s="452">
        <v>9</v>
      </c>
      <c r="G23" s="452">
        <v>9</v>
      </c>
      <c r="H23" s="452">
        <v>9</v>
      </c>
      <c r="I23" s="452">
        <v>9</v>
      </c>
      <c r="J23" s="452">
        <v>9</v>
      </c>
      <c r="K23" s="452">
        <v>9</v>
      </c>
      <c r="L23" s="452">
        <v>9</v>
      </c>
      <c r="M23" s="452">
        <v>7.5</v>
      </c>
      <c r="N23" s="452">
        <v>8.5</v>
      </c>
      <c r="O23" s="452">
        <v>8.5</v>
      </c>
      <c r="P23" s="452">
        <v>8.6999999999999993</v>
      </c>
      <c r="Q23" s="452">
        <v>8.6999999999999993</v>
      </c>
      <c r="R23" s="452">
        <v>8.6999999999999993</v>
      </c>
      <c r="S23" s="452">
        <v>8.6999999999999993</v>
      </c>
      <c r="T23" s="452">
        <v>8.6999999999999993</v>
      </c>
      <c r="U23" s="452">
        <v>8.6999999999999993</v>
      </c>
      <c r="V23" s="452">
        <v>8.6999999999999993</v>
      </c>
    </row>
    <row r="24" spans="1:22" s="400" customFormat="1" ht="12.75" customHeight="1">
      <c r="A24" s="435"/>
      <c r="B24" s="410"/>
      <c r="C24" s="2341" t="s">
        <v>899</v>
      </c>
      <c r="D24" s="2341"/>
      <c r="E24" s="317">
        <v>10</v>
      </c>
      <c r="F24" s="317">
        <v>10</v>
      </c>
      <c r="G24" s="317">
        <v>10</v>
      </c>
      <c r="H24" s="317">
        <v>10</v>
      </c>
      <c r="I24" s="317">
        <v>10</v>
      </c>
      <c r="J24" s="317">
        <v>10</v>
      </c>
      <c r="K24" s="317">
        <v>10</v>
      </c>
      <c r="L24" s="317">
        <v>10</v>
      </c>
      <c r="M24" s="317">
        <v>8.25</v>
      </c>
      <c r="N24" s="317">
        <v>9.25</v>
      </c>
      <c r="O24" s="317">
        <v>9.25</v>
      </c>
      <c r="P24" s="317">
        <v>9.4499999999999993</v>
      </c>
      <c r="Q24" s="317">
        <v>9.4499999999999993</v>
      </c>
      <c r="R24" s="317">
        <v>9.4499999999999993</v>
      </c>
      <c r="S24" s="317">
        <v>9.4499999999999993</v>
      </c>
      <c r="T24" s="317">
        <v>9.4499999999999993</v>
      </c>
      <c r="U24" s="317">
        <v>9.4499999999999993</v>
      </c>
      <c r="V24" s="317">
        <v>9.4499999999999993</v>
      </c>
    </row>
    <row r="25" spans="1:22" s="400" customFormat="1" ht="12.75" customHeight="1">
      <c r="A25" s="436"/>
      <c r="B25" s="175"/>
      <c r="C25" s="2357" t="s">
        <v>900</v>
      </c>
      <c r="D25" s="2357"/>
      <c r="E25" s="452">
        <v>11</v>
      </c>
      <c r="F25" s="452">
        <v>11</v>
      </c>
      <c r="G25" s="452">
        <v>11</v>
      </c>
      <c r="H25" s="452">
        <v>11</v>
      </c>
      <c r="I25" s="452">
        <v>11</v>
      </c>
      <c r="J25" s="452">
        <v>11</v>
      </c>
      <c r="K25" s="452">
        <v>11</v>
      </c>
      <c r="L25" s="452">
        <v>11</v>
      </c>
      <c r="M25" s="452">
        <v>9</v>
      </c>
      <c r="N25" s="452">
        <v>10</v>
      </c>
      <c r="O25" s="452">
        <v>10</v>
      </c>
      <c r="P25" s="452">
        <v>10.199999999999999</v>
      </c>
      <c r="Q25" s="452">
        <v>10.199999999999999</v>
      </c>
      <c r="R25" s="452">
        <v>10.199999999999999</v>
      </c>
      <c r="S25" s="452">
        <v>10.199999999999999</v>
      </c>
      <c r="T25" s="452">
        <v>10.199999999999999</v>
      </c>
      <c r="U25" s="452">
        <v>10.199999999999999</v>
      </c>
      <c r="V25" s="452">
        <v>10.199999999999999</v>
      </c>
    </row>
    <row r="26" spans="1:22" s="400" customFormat="1" ht="12.75" customHeight="1">
      <c r="A26" s="435"/>
      <c r="B26" s="410"/>
      <c r="C26" s="2372" t="s">
        <v>901</v>
      </c>
      <c r="D26" s="2372"/>
      <c r="E26" s="315">
        <v>12</v>
      </c>
      <c r="F26" s="315">
        <v>12</v>
      </c>
      <c r="G26" s="315">
        <v>12</v>
      </c>
      <c r="H26" s="315">
        <v>12</v>
      </c>
      <c r="I26" s="315">
        <v>12</v>
      </c>
      <c r="J26" s="315">
        <v>12</v>
      </c>
      <c r="K26" s="315">
        <v>12</v>
      </c>
      <c r="L26" s="315">
        <v>12</v>
      </c>
      <c r="M26" s="315">
        <v>10.5</v>
      </c>
      <c r="N26" s="315">
        <v>11</v>
      </c>
      <c r="O26" s="315">
        <v>11</v>
      </c>
      <c r="P26" s="315">
        <v>11.2</v>
      </c>
      <c r="Q26" s="315">
        <v>11.2</v>
      </c>
      <c r="R26" s="315">
        <v>11.2</v>
      </c>
      <c r="S26" s="315">
        <v>11.2</v>
      </c>
      <c r="T26" s="315">
        <v>11.2</v>
      </c>
      <c r="U26" s="315">
        <v>11.2</v>
      </c>
      <c r="V26" s="315">
        <v>11.2</v>
      </c>
    </row>
    <row r="27" spans="1:22" s="406" customFormat="1" ht="12.75" customHeight="1">
      <c r="A27" s="436"/>
      <c r="B27" s="176"/>
      <c r="C27" s="2373" t="s">
        <v>902</v>
      </c>
      <c r="D27" s="2373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10.5</v>
      </c>
      <c r="N27" s="30" t="s">
        <v>2245</v>
      </c>
      <c r="O27" s="30" t="s">
        <v>2245</v>
      </c>
      <c r="P27" s="30" t="s">
        <v>2257</v>
      </c>
      <c r="Q27" s="30" t="s">
        <v>2257</v>
      </c>
      <c r="R27" s="30" t="s">
        <v>2257</v>
      </c>
      <c r="S27" s="30" t="s">
        <v>2257</v>
      </c>
      <c r="T27" s="30" t="s">
        <v>2257</v>
      </c>
      <c r="U27" s="30" t="s">
        <v>2257</v>
      </c>
      <c r="V27" s="30" t="s">
        <v>2257</v>
      </c>
    </row>
    <row r="28" spans="1:22" s="400" customFormat="1">
      <c r="A28" s="2371" t="s">
        <v>1423</v>
      </c>
      <c r="B28" s="2371"/>
      <c r="C28" s="2371"/>
      <c r="D28" s="2371"/>
      <c r="E28" s="407"/>
      <c r="F28" s="407"/>
      <c r="G28" s="407"/>
      <c r="H28" s="407"/>
      <c r="I28" s="407"/>
      <c r="J28" s="407"/>
      <c r="K28" s="407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</row>
    <row r="29" spans="1:22" s="400" customFormat="1" ht="12.75" customHeight="1">
      <c r="A29" s="434"/>
      <c r="B29" s="403"/>
      <c r="C29" s="2356" t="s">
        <v>907</v>
      </c>
      <c r="D29" s="2356"/>
      <c r="E29" s="262" t="s">
        <v>602</v>
      </c>
      <c r="F29" s="262" t="s">
        <v>602</v>
      </c>
      <c r="G29" s="1320" t="s">
        <v>894</v>
      </c>
      <c r="H29" s="440" t="s">
        <v>894</v>
      </c>
      <c r="I29" s="440" t="s">
        <v>894</v>
      </c>
      <c r="J29" s="440" t="s">
        <v>894</v>
      </c>
      <c r="K29" s="440" t="s">
        <v>894</v>
      </c>
      <c r="L29" s="440" t="s">
        <v>894</v>
      </c>
      <c r="M29" s="440" t="s">
        <v>894</v>
      </c>
      <c r="N29" s="440" t="s">
        <v>894</v>
      </c>
      <c r="O29" s="440" t="s">
        <v>894</v>
      </c>
      <c r="P29" s="440" t="s">
        <v>894</v>
      </c>
      <c r="Q29" s="440" t="s">
        <v>894</v>
      </c>
      <c r="R29" s="440" t="s">
        <v>894</v>
      </c>
      <c r="S29" s="440" t="s">
        <v>894</v>
      </c>
      <c r="T29" s="440" t="s">
        <v>894</v>
      </c>
      <c r="U29" s="440" t="s">
        <v>894</v>
      </c>
      <c r="V29" s="440" t="s">
        <v>894</v>
      </c>
    </row>
    <row r="30" spans="1:22" s="400" customFormat="1" ht="12.75" customHeight="1">
      <c r="A30" s="433"/>
      <c r="B30" s="408"/>
      <c r="C30" s="2341" t="s">
        <v>908</v>
      </c>
      <c r="D30" s="2341"/>
      <c r="E30" s="336" t="s">
        <v>602</v>
      </c>
      <c r="F30" s="336" t="s">
        <v>602</v>
      </c>
      <c r="G30" s="336">
        <v>6.5</v>
      </c>
      <c r="H30" s="317">
        <v>6.5</v>
      </c>
      <c r="I30" s="317">
        <v>6.5</v>
      </c>
      <c r="J30" s="317">
        <v>6.5</v>
      </c>
      <c r="K30" s="317">
        <v>6.5</v>
      </c>
      <c r="L30" s="317">
        <v>6.5</v>
      </c>
      <c r="M30" s="317">
        <v>6.5</v>
      </c>
      <c r="N30" s="317">
        <v>6.5</v>
      </c>
      <c r="O30" s="317">
        <v>6.5</v>
      </c>
      <c r="P30" s="317">
        <v>6.5</v>
      </c>
      <c r="Q30" s="317">
        <v>6.5</v>
      </c>
      <c r="R30" s="317">
        <v>6.5</v>
      </c>
      <c r="S30" s="317">
        <v>6.5</v>
      </c>
      <c r="T30" s="317">
        <v>6.5</v>
      </c>
      <c r="U30" s="317">
        <v>4.5</v>
      </c>
      <c r="V30" s="317">
        <v>6.5</v>
      </c>
    </row>
    <row r="31" spans="1:22" s="400" customFormat="1" ht="12.75" customHeight="1">
      <c r="A31" s="434"/>
      <c r="B31" s="403"/>
      <c r="C31" s="2357" t="s">
        <v>909</v>
      </c>
      <c r="D31" s="2357"/>
      <c r="E31" s="262" t="s">
        <v>602</v>
      </c>
      <c r="F31" s="262" t="s">
        <v>602</v>
      </c>
      <c r="G31" s="262">
        <v>7</v>
      </c>
      <c r="H31" s="452">
        <v>7</v>
      </c>
      <c r="I31" s="452">
        <v>7</v>
      </c>
      <c r="J31" s="452">
        <v>7</v>
      </c>
      <c r="K31" s="452">
        <v>7</v>
      </c>
      <c r="L31" s="452">
        <v>7</v>
      </c>
      <c r="M31" s="452">
        <v>7</v>
      </c>
      <c r="N31" s="452">
        <v>7</v>
      </c>
      <c r="O31" s="452">
        <v>7</v>
      </c>
      <c r="P31" s="452">
        <v>7</v>
      </c>
      <c r="Q31" s="452">
        <v>7</v>
      </c>
      <c r="R31" s="452">
        <v>7</v>
      </c>
      <c r="S31" s="452">
        <v>7</v>
      </c>
      <c r="T31" s="452">
        <v>7</v>
      </c>
      <c r="U31" s="452">
        <v>5</v>
      </c>
      <c r="V31" s="452">
        <v>7</v>
      </c>
    </row>
    <row r="32" spans="1:22" s="400" customFormat="1" ht="12" customHeight="1">
      <c r="A32" s="433"/>
      <c r="B32" s="408"/>
      <c r="C32" s="2358" t="s">
        <v>922</v>
      </c>
      <c r="D32" s="2358"/>
      <c r="E32" s="336" t="s">
        <v>602</v>
      </c>
      <c r="F32" s="336" t="s">
        <v>602</v>
      </c>
      <c r="G32" s="336">
        <v>7.5</v>
      </c>
      <c r="H32" s="317">
        <v>7.5</v>
      </c>
      <c r="I32" s="317">
        <v>7.5</v>
      </c>
      <c r="J32" s="317">
        <v>7.5</v>
      </c>
      <c r="K32" s="317">
        <v>7.5</v>
      </c>
      <c r="L32" s="317">
        <v>7.5</v>
      </c>
      <c r="M32" s="317">
        <v>7.5</v>
      </c>
      <c r="N32" s="317">
        <v>7.5</v>
      </c>
      <c r="O32" s="317">
        <v>7.5</v>
      </c>
      <c r="P32" s="317">
        <v>7.5</v>
      </c>
      <c r="Q32" s="317">
        <v>7.5</v>
      </c>
      <c r="R32" s="317">
        <v>7.5</v>
      </c>
      <c r="S32" s="317">
        <v>7.5</v>
      </c>
      <c r="T32" s="317">
        <v>7.5</v>
      </c>
      <c r="U32" s="317">
        <v>5.5</v>
      </c>
      <c r="V32" s="317">
        <v>7.5</v>
      </c>
    </row>
    <row r="33" spans="1:22" s="175" customFormat="1" ht="12.75" customHeight="1">
      <c r="A33" s="2362" t="s">
        <v>1424</v>
      </c>
      <c r="B33" s="2362"/>
      <c r="C33" s="2362"/>
      <c r="D33" s="2362"/>
      <c r="H33" s="439"/>
      <c r="I33" s="439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9"/>
      <c r="U33" s="439"/>
      <c r="V33" s="439"/>
    </row>
    <row r="34" spans="1:22" s="175" customFormat="1" ht="12.75" customHeight="1">
      <c r="A34" s="437"/>
      <c r="B34" s="410"/>
      <c r="C34" s="2358" t="s">
        <v>907</v>
      </c>
      <c r="D34" s="2358"/>
      <c r="E34" s="336" t="s">
        <v>602</v>
      </c>
      <c r="F34" s="336" t="s">
        <v>602</v>
      </c>
      <c r="G34" s="1321" t="s">
        <v>895</v>
      </c>
      <c r="H34" s="429" t="s">
        <v>895</v>
      </c>
      <c r="I34" s="429" t="s">
        <v>895</v>
      </c>
      <c r="J34" s="429" t="s">
        <v>895</v>
      </c>
      <c r="K34" s="429" t="s">
        <v>895</v>
      </c>
      <c r="L34" s="429" t="s">
        <v>895</v>
      </c>
      <c r="M34" s="429" t="s">
        <v>895</v>
      </c>
      <c r="N34" s="429" t="s">
        <v>895</v>
      </c>
      <c r="O34" s="429" t="s">
        <v>895</v>
      </c>
      <c r="P34" s="429" t="s">
        <v>895</v>
      </c>
      <c r="Q34" s="429" t="s">
        <v>895</v>
      </c>
      <c r="R34" s="429" t="s">
        <v>895</v>
      </c>
      <c r="S34" s="429" t="s">
        <v>895</v>
      </c>
      <c r="T34" s="429" t="s">
        <v>895</v>
      </c>
      <c r="U34" s="429" t="s">
        <v>895</v>
      </c>
      <c r="V34" s="429" t="s">
        <v>895</v>
      </c>
    </row>
    <row r="35" spans="1:22" s="175" customFormat="1" ht="12.75" customHeight="1">
      <c r="A35" s="441"/>
      <c r="C35" s="2357" t="s">
        <v>908</v>
      </c>
      <c r="D35" s="2357"/>
      <c r="E35" s="262" t="s">
        <v>602</v>
      </c>
      <c r="F35" s="262" t="s">
        <v>602</v>
      </c>
      <c r="G35" s="262">
        <v>5.5</v>
      </c>
      <c r="H35" s="452">
        <v>5.5</v>
      </c>
      <c r="I35" s="452">
        <v>5.5</v>
      </c>
      <c r="J35" s="452">
        <v>5.5</v>
      </c>
      <c r="K35" s="452">
        <v>5.5</v>
      </c>
      <c r="L35" s="452">
        <v>5.5</v>
      </c>
      <c r="M35" s="452">
        <v>5.5</v>
      </c>
      <c r="N35" s="452">
        <v>5.5</v>
      </c>
      <c r="O35" s="452">
        <v>5.5</v>
      </c>
      <c r="P35" s="452">
        <v>5.5</v>
      </c>
      <c r="Q35" s="452">
        <v>5.5</v>
      </c>
      <c r="R35" s="452">
        <v>5.5</v>
      </c>
      <c r="S35" s="452">
        <v>5.5</v>
      </c>
      <c r="T35" s="452">
        <v>5.5</v>
      </c>
      <c r="U35" s="452">
        <v>4</v>
      </c>
      <c r="V35" s="452">
        <v>5.5</v>
      </c>
    </row>
    <row r="36" spans="1:22" s="175" customFormat="1" ht="12.75" customHeight="1">
      <c r="A36" s="437"/>
      <c r="B36" s="410"/>
      <c r="C36" s="2341" t="s">
        <v>909</v>
      </c>
      <c r="D36" s="2341"/>
      <c r="E36" s="336" t="s">
        <v>602</v>
      </c>
      <c r="F36" s="336" t="s">
        <v>602</v>
      </c>
      <c r="G36" s="336">
        <v>6</v>
      </c>
      <c r="H36" s="317">
        <v>6</v>
      </c>
      <c r="I36" s="317">
        <v>6</v>
      </c>
      <c r="J36" s="317">
        <v>6</v>
      </c>
      <c r="K36" s="317">
        <v>6</v>
      </c>
      <c r="L36" s="317">
        <v>6</v>
      </c>
      <c r="M36" s="317">
        <v>6</v>
      </c>
      <c r="N36" s="317">
        <v>6</v>
      </c>
      <c r="O36" s="317">
        <v>6</v>
      </c>
      <c r="P36" s="317">
        <v>6</v>
      </c>
      <c r="Q36" s="317">
        <v>6</v>
      </c>
      <c r="R36" s="317">
        <v>6</v>
      </c>
      <c r="S36" s="317">
        <v>6</v>
      </c>
      <c r="T36" s="317">
        <v>6</v>
      </c>
      <c r="U36" s="317">
        <v>4.5</v>
      </c>
      <c r="V36" s="317">
        <v>6</v>
      </c>
    </row>
    <row r="37" spans="1:22" s="175" customFormat="1" ht="12.75" customHeight="1">
      <c r="A37" s="441"/>
      <c r="C37" s="2364" t="s">
        <v>922</v>
      </c>
      <c r="D37" s="2364"/>
      <c r="E37" s="262" t="s">
        <v>602</v>
      </c>
      <c r="F37" s="262" t="s">
        <v>602</v>
      </c>
      <c r="G37" s="262">
        <v>6.5</v>
      </c>
      <c r="H37" s="452">
        <v>6.5</v>
      </c>
      <c r="I37" s="452">
        <v>6.5</v>
      </c>
      <c r="J37" s="452">
        <v>6.5</v>
      </c>
      <c r="K37" s="452">
        <v>6.5</v>
      </c>
      <c r="L37" s="452">
        <v>6.5</v>
      </c>
      <c r="M37" s="452">
        <v>6.5</v>
      </c>
      <c r="N37" s="452">
        <v>6.5</v>
      </c>
      <c r="O37" s="452">
        <v>6.5</v>
      </c>
      <c r="P37" s="452">
        <v>6.5</v>
      </c>
      <c r="Q37" s="452">
        <v>6.5</v>
      </c>
      <c r="R37" s="452">
        <v>6.5</v>
      </c>
      <c r="S37" s="452">
        <v>6.5</v>
      </c>
      <c r="T37" s="452">
        <v>6.5</v>
      </c>
      <c r="U37" s="452">
        <v>5</v>
      </c>
      <c r="V37" s="452">
        <v>6.5</v>
      </c>
    </row>
    <row r="38" spans="1:22" s="175" customFormat="1" ht="22.5" customHeight="1">
      <c r="A38" s="444" t="s">
        <v>84</v>
      </c>
      <c r="B38" s="2360" t="s">
        <v>931</v>
      </c>
      <c r="C38" s="2360"/>
      <c r="D38" s="2360"/>
      <c r="E38" s="443"/>
      <c r="F38" s="443"/>
      <c r="G38" s="443"/>
      <c r="H38" s="443"/>
      <c r="I38" s="443"/>
      <c r="J38" s="443"/>
      <c r="K38" s="443"/>
      <c r="L38" s="445"/>
      <c r="M38" s="445"/>
      <c r="N38" s="445"/>
      <c r="O38" s="445"/>
      <c r="P38" s="445"/>
      <c r="Q38" s="445"/>
      <c r="R38" s="445"/>
      <c r="S38" s="445"/>
      <c r="T38" s="445"/>
      <c r="U38" s="445"/>
      <c r="V38" s="445"/>
    </row>
    <row r="39" spans="1:22" s="175" customFormat="1" ht="13.5" customHeight="1">
      <c r="A39" s="434"/>
      <c r="B39" s="2363" t="s">
        <v>904</v>
      </c>
      <c r="C39" s="2363"/>
      <c r="D39" s="2363"/>
      <c r="E39" s="402"/>
      <c r="F39" s="402"/>
      <c r="G39" s="402"/>
      <c r="H39" s="402"/>
      <c r="I39" s="402"/>
      <c r="J39" s="402"/>
      <c r="K39" s="402"/>
      <c r="L39" s="404"/>
      <c r="M39" s="404"/>
      <c r="N39" s="404"/>
      <c r="O39" s="404"/>
      <c r="P39" s="404"/>
      <c r="Q39" s="404"/>
      <c r="R39" s="404"/>
      <c r="S39" s="404"/>
      <c r="T39" s="404"/>
      <c r="U39" s="404"/>
      <c r="V39" s="404"/>
    </row>
    <row r="40" spans="1:22" s="175" customFormat="1" ht="13.5" customHeight="1">
      <c r="A40" s="433"/>
      <c r="B40" s="408"/>
      <c r="C40" s="2361" t="s">
        <v>289</v>
      </c>
      <c r="D40" s="2361"/>
      <c r="E40" s="336">
        <v>13</v>
      </c>
      <c r="F40" s="336">
        <v>13</v>
      </c>
      <c r="G40" s="336">
        <v>13</v>
      </c>
      <c r="H40" s="336">
        <v>13</v>
      </c>
      <c r="I40" s="336">
        <v>13</v>
      </c>
      <c r="J40" s="336">
        <v>13</v>
      </c>
      <c r="K40" s="336">
        <v>12</v>
      </c>
      <c r="L40" s="307">
        <v>12</v>
      </c>
      <c r="M40" s="307">
        <v>12</v>
      </c>
      <c r="N40" s="307">
        <v>12</v>
      </c>
      <c r="O40" s="307">
        <v>12</v>
      </c>
      <c r="P40" s="307">
        <v>12</v>
      </c>
      <c r="Q40" s="307">
        <v>12</v>
      </c>
      <c r="R40" s="307">
        <v>12</v>
      </c>
      <c r="S40" s="307">
        <v>12</v>
      </c>
      <c r="T40" s="307">
        <v>12</v>
      </c>
      <c r="U40" s="307">
        <v>12</v>
      </c>
      <c r="V40" s="307">
        <v>12</v>
      </c>
    </row>
    <row r="41" spans="1:22" s="175" customFormat="1" ht="13.5" customHeight="1">
      <c r="A41" s="434"/>
      <c r="B41" s="403"/>
      <c r="C41" s="2359" t="s">
        <v>288</v>
      </c>
      <c r="D41" s="2359"/>
      <c r="E41" s="262">
        <v>15</v>
      </c>
      <c r="F41" s="262">
        <v>15</v>
      </c>
      <c r="G41" s="262">
        <v>15</v>
      </c>
      <c r="H41" s="262">
        <v>15</v>
      </c>
      <c r="I41" s="262">
        <v>15</v>
      </c>
      <c r="J41" s="262">
        <v>15</v>
      </c>
      <c r="K41" s="262">
        <v>12</v>
      </c>
      <c r="L41" s="243">
        <v>12</v>
      </c>
      <c r="M41" s="243">
        <v>12</v>
      </c>
      <c r="N41" s="243">
        <v>12</v>
      </c>
      <c r="O41" s="243">
        <v>12</v>
      </c>
      <c r="P41" s="243">
        <v>12</v>
      </c>
      <c r="Q41" s="243">
        <v>12</v>
      </c>
      <c r="R41" s="243">
        <v>12</v>
      </c>
      <c r="S41" s="243">
        <v>12</v>
      </c>
      <c r="T41" s="243">
        <v>12</v>
      </c>
      <c r="U41" s="243">
        <v>12</v>
      </c>
      <c r="V41" s="243">
        <v>12</v>
      </c>
    </row>
    <row r="42" spans="1:22" s="175" customFormat="1" ht="13.5" customHeight="1" thickBot="1">
      <c r="A42" s="446"/>
      <c r="B42" s="2355" t="s">
        <v>905</v>
      </c>
      <c r="C42" s="2355"/>
      <c r="D42" s="2355"/>
      <c r="E42" s="355">
        <v>10</v>
      </c>
      <c r="F42" s="355">
        <v>10</v>
      </c>
      <c r="G42" s="355">
        <v>10</v>
      </c>
      <c r="H42" s="355">
        <v>10</v>
      </c>
      <c r="I42" s="355">
        <v>10</v>
      </c>
      <c r="J42" s="355">
        <v>10</v>
      </c>
      <c r="K42" s="355">
        <v>10</v>
      </c>
      <c r="L42" s="497">
        <v>10</v>
      </c>
      <c r="M42" s="497">
        <v>10</v>
      </c>
      <c r="N42" s="497">
        <v>10</v>
      </c>
      <c r="O42" s="497">
        <v>10</v>
      </c>
      <c r="P42" s="497">
        <v>10</v>
      </c>
      <c r="Q42" s="497">
        <v>10</v>
      </c>
      <c r="R42" s="497">
        <v>10</v>
      </c>
      <c r="S42" s="497">
        <v>10</v>
      </c>
      <c r="T42" s="497">
        <v>10</v>
      </c>
      <c r="U42" s="497">
        <v>10</v>
      </c>
      <c r="V42" s="497">
        <v>10</v>
      </c>
    </row>
    <row r="43" spans="1:22" s="176" customFormat="1" ht="10.5" customHeight="1">
      <c r="A43" s="447" t="s">
        <v>30</v>
      </c>
      <c r="B43" s="298"/>
      <c r="C43" s="2354" t="s">
        <v>1468</v>
      </c>
      <c r="D43" s="2354"/>
      <c r="E43" s="1028"/>
      <c r="F43" s="1028"/>
      <c r="G43" s="1028"/>
      <c r="K43" s="451" t="s">
        <v>2246</v>
      </c>
      <c r="L43" s="297"/>
      <c r="M43" s="449"/>
      <c r="N43" s="405"/>
      <c r="O43" s="405"/>
      <c r="P43" s="405"/>
      <c r="Q43" s="405"/>
      <c r="R43" s="405"/>
      <c r="S43" s="405"/>
      <c r="T43" s="405"/>
      <c r="U43" s="405"/>
      <c r="V43" s="405"/>
    </row>
    <row r="44" spans="1:22" s="297" customFormat="1" ht="9.75" customHeight="1">
      <c r="A44" s="447"/>
      <c r="B44" s="298"/>
      <c r="C44" s="2354" t="s">
        <v>1425</v>
      </c>
      <c r="D44" s="2354"/>
      <c r="E44" s="2354"/>
      <c r="F44" s="2354"/>
      <c r="G44" s="2354"/>
      <c r="K44" s="451" t="s">
        <v>2247</v>
      </c>
      <c r="L44" s="139"/>
      <c r="M44" s="139"/>
      <c r="N44" s="449"/>
    </row>
    <row r="45" spans="1:22" s="297" customFormat="1" ht="9.75" customHeight="1">
      <c r="A45" s="448"/>
      <c r="B45" s="298"/>
      <c r="C45" s="2354" t="s">
        <v>1469</v>
      </c>
      <c r="D45" s="2354"/>
      <c r="E45" s="449"/>
      <c r="F45" s="449"/>
      <c r="G45" s="449"/>
      <c r="K45" s="451" t="s">
        <v>2248</v>
      </c>
    </row>
    <row r="46" spans="1:22" s="297" customFormat="1" ht="9.75" customHeight="1">
      <c r="A46" s="448"/>
      <c r="B46" s="298"/>
      <c r="C46" s="1255"/>
      <c r="D46" s="139" t="s">
        <v>474</v>
      </c>
      <c r="F46" s="449"/>
      <c r="G46" s="449"/>
      <c r="H46" s="449"/>
      <c r="K46" s="451" t="s">
        <v>2249</v>
      </c>
    </row>
    <row r="47" spans="1:22" s="13" customFormat="1" ht="9.75" customHeight="1">
      <c r="A47" s="645"/>
      <c r="D47" s="139"/>
      <c r="E47" s="297"/>
      <c r="F47" s="139"/>
      <c r="G47" s="139"/>
      <c r="H47" s="139"/>
      <c r="K47" s="451" t="s">
        <v>2250</v>
      </c>
    </row>
    <row r="48" spans="1:22" s="13" customFormat="1" ht="9.75" customHeight="1">
      <c r="A48" s="450"/>
      <c r="E48" s="139"/>
      <c r="F48" s="139"/>
      <c r="G48" s="139"/>
      <c r="H48" s="139"/>
    </row>
    <row r="54" spans="2:8">
      <c r="B54" s="420"/>
      <c r="C54" s="423"/>
      <c r="D54" s="424"/>
      <c r="E54" s="418"/>
      <c r="F54" s="419"/>
      <c r="G54" s="418"/>
      <c r="H54" s="418"/>
    </row>
    <row r="55" spans="2:8">
      <c r="B55" s="425"/>
      <c r="C55" s="423"/>
      <c r="D55" s="426"/>
      <c r="E55" s="418"/>
      <c r="F55" s="419"/>
      <c r="G55" s="427"/>
      <c r="H55" s="427"/>
    </row>
    <row r="56" spans="2:8">
      <c r="B56" s="428"/>
      <c r="C56" s="428"/>
      <c r="D56" s="422"/>
      <c r="E56" s="428"/>
      <c r="F56" s="428"/>
      <c r="G56" s="428"/>
      <c r="H56" s="428"/>
    </row>
    <row r="57" spans="2:8">
      <c r="B57" s="421"/>
      <c r="C57" s="428"/>
      <c r="D57" s="422"/>
      <c r="E57" s="428"/>
      <c r="F57" s="428"/>
      <c r="G57" s="428"/>
      <c r="H57" s="428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R28" zoomScale="170" zoomScaleNormal="170" workbookViewId="0">
      <selection activeCell="AB49" sqref="AB4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0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1964</v>
      </c>
      <c r="B1" s="1914" t="s">
        <v>859</v>
      </c>
      <c r="C1" s="1914"/>
      <c r="D1" s="1914"/>
      <c r="E1" s="1914"/>
      <c r="F1" s="1914"/>
      <c r="G1" s="1914"/>
      <c r="H1" s="1914"/>
      <c r="I1" s="1914"/>
      <c r="J1" s="1914"/>
      <c r="K1" s="2378" t="s">
        <v>2665</v>
      </c>
      <c r="L1" s="2378"/>
      <c r="M1" s="2378"/>
      <c r="N1" s="2378"/>
      <c r="O1" s="2378"/>
      <c r="P1" s="2378"/>
      <c r="Q1" s="2378"/>
      <c r="R1" s="993"/>
      <c r="S1" s="1284" t="s">
        <v>1143</v>
      </c>
      <c r="T1" s="1284"/>
      <c r="U1" s="1914" t="s">
        <v>1980</v>
      </c>
      <c r="V1" s="1914"/>
      <c r="W1" s="1914"/>
      <c r="X1" s="1914"/>
      <c r="Y1" s="1914"/>
      <c r="Z1" s="1914"/>
      <c r="AA1" s="1914"/>
      <c r="AB1" s="1914"/>
      <c r="AC1" s="2378" t="s">
        <v>2666</v>
      </c>
      <c r="AD1" s="2378"/>
      <c r="AE1" s="2378"/>
      <c r="AF1" s="2378"/>
      <c r="AG1" s="2378"/>
      <c r="AH1" s="1500"/>
      <c r="AI1" s="2379" t="s">
        <v>1143</v>
      </c>
      <c r="AJ1" s="2379"/>
      <c r="AK1" s="1914" t="s">
        <v>1981</v>
      </c>
      <c r="AL1" s="1914"/>
      <c r="AM1" s="1914"/>
      <c r="AN1" s="1914"/>
      <c r="AO1" s="1914"/>
      <c r="AP1" s="1914"/>
      <c r="AQ1" s="1914"/>
      <c r="AR1" s="1914"/>
      <c r="AS1" s="2378" t="s">
        <v>2667</v>
      </c>
      <c r="AT1" s="2378"/>
      <c r="AU1" s="2378"/>
      <c r="AV1" s="2378"/>
      <c r="AW1" s="2378"/>
      <c r="AX1" s="2378"/>
      <c r="AY1" s="1511"/>
      <c r="AZ1" s="2404" t="s">
        <v>1143</v>
      </c>
      <c r="BA1" s="2404"/>
      <c r="BC1" s="840"/>
      <c r="BD1" s="1914" t="s">
        <v>859</v>
      </c>
      <c r="BE1" s="1914"/>
      <c r="BF1" s="1914"/>
      <c r="BG1" s="1914"/>
      <c r="BH1" s="2378" t="s">
        <v>2666</v>
      </c>
      <c r="BI1" s="2378"/>
      <c r="BJ1" s="2378"/>
      <c r="BK1" s="2378"/>
      <c r="BL1" s="1511"/>
      <c r="BM1" s="2379" t="s">
        <v>1144</v>
      </c>
      <c r="BN1" s="2379"/>
    </row>
    <row r="2" spans="1:66" ht="11.25" customHeight="1">
      <c r="C2" s="841"/>
      <c r="D2" s="841"/>
      <c r="E2" s="841"/>
      <c r="F2" s="841"/>
      <c r="G2" s="841"/>
      <c r="H2" s="841"/>
      <c r="I2" s="841"/>
      <c r="J2" s="841"/>
      <c r="K2" s="841"/>
      <c r="L2" s="2381"/>
      <c r="M2" s="2381"/>
      <c r="N2" s="842"/>
      <c r="O2" s="842"/>
      <c r="P2" s="842"/>
      <c r="Q2" s="842"/>
      <c r="S2" s="1227"/>
      <c r="T2" s="1508" t="s">
        <v>524</v>
      </c>
      <c r="Y2" s="2405"/>
      <c r="Z2" s="2405"/>
      <c r="AA2" s="1510"/>
      <c r="AB2" s="1510"/>
      <c r="AC2" s="1510"/>
      <c r="AD2" s="1510"/>
      <c r="AE2" s="1510"/>
      <c r="AF2" s="1510"/>
      <c r="AG2" s="842"/>
      <c r="AI2" s="1227"/>
      <c r="AJ2" s="1508" t="s">
        <v>524</v>
      </c>
      <c r="AK2" s="1227"/>
      <c r="AL2" s="1508"/>
      <c r="AM2" s="841"/>
      <c r="AN2" s="841"/>
      <c r="AO2" s="1513"/>
      <c r="AP2" s="1510"/>
      <c r="AQ2" s="1510"/>
      <c r="AR2" s="1510"/>
      <c r="AS2" s="1510"/>
      <c r="AT2" s="1510"/>
      <c r="AU2" s="1510"/>
      <c r="AV2" s="842"/>
      <c r="AW2" s="842"/>
      <c r="AX2" s="842"/>
      <c r="AY2" s="842"/>
      <c r="AZ2" s="1227"/>
      <c r="BA2" s="1508" t="s">
        <v>524</v>
      </c>
      <c r="BD2" s="841"/>
      <c r="BE2" s="841"/>
      <c r="BF2" s="2380"/>
      <c r="BG2" s="2380"/>
      <c r="BH2" s="2381"/>
      <c r="BI2" s="2381"/>
      <c r="BJ2" s="2381"/>
      <c r="BK2" s="842"/>
      <c r="BL2" s="842"/>
      <c r="BM2" s="1227"/>
      <c r="BN2" s="1508" t="s">
        <v>524</v>
      </c>
    </row>
    <row r="3" spans="1:66" s="843" customFormat="1" ht="13.5" customHeight="1">
      <c r="A3" s="2391" t="s">
        <v>141</v>
      </c>
      <c r="B3" s="2386"/>
      <c r="C3" s="2382" t="s">
        <v>97</v>
      </c>
      <c r="D3" s="2383"/>
      <c r="E3" s="2383"/>
      <c r="F3" s="2383"/>
      <c r="G3" s="2383"/>
      <c r="H3" s="2384"/>
      <c r="I3" s="2401" t="s">
        <v>2211</v>
      </c>
      <c r="J3" s="2402"/>
      <c r="K3" s="2403"/>
      <c r="L3" s="2382" t="s">
        <v>143</v>
      </c>
      <c r="M3" s="2383"/>
      <c r="N3" s="2383"/>
      <c r="O3" s="2383"/>
      <c r="P3" s="2383"/>
      <c r="Q3" s="2383"/>
      <c r="R3" s="2384"/>
      <c r="S3" s="2391" t="s">
        <v>141</v>
      </c>
      <c r="T3" s="2386"/>
      <c r="U3" s="2391" t="s">
        <v>141</v>
      </c>
      <c r="V3" s="2386"/>
      <c r="W3" s="2382" t="s">
        <v>619</v>
      </c>
      <c r="X3" s="2383"/>
      <c r="Y3" s="2383"/>
      <c r="Z3" s="2383"/>
      <c r="AA3" s="2383"/>
      <c r="AB3" s="2383"/>
      <c r="AC3" s="2383"/>
      <c r="AD3" s="2383"/>
      <c r="AE3" s="2383"/>
      <c r="AF3" s="2383"/>
      <c r="AG3" s="2383"/>
      <c r="AH3" s="2384"/>
      <c r="AI3" s="2391" t="s">
        <v>141</v>
      </c>
      <c r="AJ3" s="2386"/>
      <c r="AK3" s="2392" t="s">
        <v>141</v>
      </c>
      <c r="AL3" s="2393"/>
      <c r="AM3" s="2382" t="s">
        <v>619</v>
      </c>
      <c r="AN3" s="2383"/>
      <c r="AO3" s="2383"/>
      <c r="AP3" s="2383"/>
      <c r="AQ3" s="2383"/>
      <c r="AR3" s="2383"/>
      <c r="AS3" s="2383"/>
      <c r="AT3" s="2383"/>
      <c r="AU3" s="2383"/>
      <c r="AV3" s="2383"/>
      <c r="AW3" s="2383"/>
      <c r="AX3" s="2383"/>
      <c r="AY3" s="2384"/>
      <c r="AZ3" s="2385" t="s">
        <v>141</v>
      </c>
      <c r="BA3" s="2386"/>
      <c r="BB3" s="2391" t="s">
        <v>141</v>
      </c>
      <c r="BC3" s="2386"/>
      <c r="BD3" s="2382" t="s">
        <v>620</v>
      </c>
      <c r="BE3" s="2383"/>
      <c r="BF3" s="2383"/>
      <c r="BG3" s="2383"/>
      <c r="BH3" s="2383"/>
      <c r="BI3" s="2383"/>
      <c r="BJ3" s="2383"/>
      <c r="BK3" s="2383"/>
      <c r="BL3" s="2384"/>
      <c r="BM3" s="2391" t="s">
        <v>141</v>
      </c>
      <c r="BN3" s="2386"/>
    </row>
    <row r="4" spans="1:66" s="261" customFormat="1" ht="24" customHeight="1">
      <c r="A4" s="2387"/>
      <c r="B4" s="2388"/>
      <c r="C4" s="1501" t="s">
        <v>1541</v>
      </c>
      <c r="D4" s="1501" t="s">
        <v>1542</v>
      </c>
      <c r="E4" s="1501" t="s">
        <v>1543</v>
      </c>
      <c r="F4" s="1501" t="s">
        <v>1544</v>
      </c>
      <c r="G4" s="1501" t="s">
        <v>1545</v>
      </c>
      <c r="H4" s="1501" t="s">
        <v>478</v>
      </c>
      <c r="I4" s="1501" t="s">
        <v>1394</v>
      </c>
      <c r="J4" s="1514" t="s">
        <v>144</v>
      </c>
      <c r="K4" s="1501" t="s">
        <v>1965</v>
      </c>
      <c r="L4" s="1501" t="s">
        <v>1546</v>
      </c>
      <c r="M4" s="1501" t="s">
        <v>145</v>
      </c>
      <c r="N4" s="1501" t="s">
        <v>1547</v>
      </c>
      <c r="O4" s="1501" t="s">
        <v>1548</v>
      </c>
      <c r="P4" s="1501" t="s">
        <v>1549</v>
      </c>
      <c r="Q4" s="1501" t="s">
        <v>1550</v>
      </c>
      <c r="R4" s="1501" t="s">
        <v>1551</v>
      </c>
      <c r="S4" s="2387"/>
      <c r="T4" s="2388"/>
      <c r="U4" s="2387"/>
      <c r="V4" s="2388"/>
      <c r="W4" s="1720" t="s">
        <v>1552</v>
      </c>
      <c r="X4" s="1501" t="s">
        <v>165</v>
      </c>
      <c r="Y4" s="1501" t="s">
        <v>1553</v>
      </c>
      <c r="Z4" s="1501" t="s">
        <v>1554</v>
      </c>
      <c r="AA4" s="1501" t="s">
        <v>166</v>
      </c>
      <c r="AB4" s="1501" t="s">
        <v>1555</v>
      </c>
      <c r="AC4" s="1501" t="s">
        <v>1556</v>
      </c>
      <c r="AD4" s="1501" t="s">
        <v>1557</v>
      </c>
      <c r="AE4" s="1501" t="s">
        <v>1558</v>
      </c>
      <c r="AF4" s="1501" t="s">
        <v>1592</v>
      </c>
      <c r="AG4" s="1501" t="s">
        <v>1559</v>
      </c>
      <c r="AH4" s="1501" t="s">
        <v>1560</v>
      </c>
      <c r="AI4" s="2387"/>
      <c r="AJ4" s="2388"/>
      <c r="AK4" s="2394"/>
      <c r="AL4" s="2395"/>
      <c r="AM4" s="1502" t="s">
        <v>1561</v>
      </c>
      <c r="AN4" s="1502" t="s">
        <v>1562</v>
      </c>
      <c r="AO4" s="1502" t="s">
        <v>1563</v>
      </c>
      <c r="AP4" s="1502" t="s">
        <v>1564</v>
      </c>
      <c r="AQ4" s="1502" t="s">
        <v>1565</v>
      </c>
      <c r="AR4" s="1502" t="s">
        <v>1566</v>
      </c>
      <c r="AS4" s="1502" t="s">
        <v>1567</v>
      </c>
      <c r="AT4" s="1502" t="s">
        <v>1568</v>
      </c>
      <c r="AU4" s="1502" t="s">
        <v>167</v>
      </c>
      <c r="AV4" s="1502" t="s">
        <v>1569</v>
      </c>
      <c r="AW4" s="1502" t="s">
        <v>1570</v>
      </c>
      <c r="AX4" s="1502" t="s">
        <v>1966</v>
      </c>
      <c r="AY4" s="1502" t="s">
        <v>2283</v>
      </c>
      <c r="AZ4" s="2387"/>
      <c r="BA4" s="2388"/>
      <c r="BB4" s="2387"/>
      <c r="BC4" s="2388"/>
      <c r="BD4" s="1507" t="s">
        <v>1571</v>
      </c>
      <c r="BE4" s="1501" t="s">
        <v>1572</v>
      </c>
      <c r="BF4" s="1507" t="s">
        <v>1573</v>
      </c>
      <c r="BG4" s="808" t="s">
        <v>1426</v>
      </c>
      <c r="BH4" s="1501" t="s">
        <v>1574</v>
      </c>
      <c r="BI4" s="1501" t="s">
        <v>1575</v>
      </c>
      <c r="BJ4" s="1501" t="s">
        <v>168</v>
      </c>
      <c r="BK4" s="1501" t="s">
        <v>621</v>
      </c>
      <c r="BL4" s="1501" t="s">
        <v>2212</v>
      </c>
      <c r="BM4" s="2387"/>
      <c r="BN4" s="2388"/>
    </row>
    <row r="5" spans="1:66" s="98" customFormat="1" ht="10.5" customHeight="1">
      <c r="A5" s="2389"/>
      <c r="B5" s="2390"/>
      <c r="C5" s="1507">
        <v>1</v>
      </c>
      <c r="D5" s="1515">
        <v>2</v>
      </c>
      <c r="E5" s="1507">
        <v>3</v>
      </c>
      <c r="F5" s="1515">
        <v>4</v>
      </c>
      <c r="G5" s="1507">
        <v>5</v>
      </c>
      <c r="H5" s="1507">
        <v>6</v>
      </c>
      <c r="I5" s="991">
        <v>7</v>
      </c>
      <c r="J5" s="991">
        <v>8</v>
      </c>
      <c r="K5" s="1507">
        <v>9</v>
      </c>
      <c r="L5" s="780">
        <v>10</v>
      </c>
      <c r="M5" s="1515">
        <v>11</v>
      </c>
      <c r="N5" s="1507">
        <v>12</v>
      </c>
      <c r="O5" s="1515">
        <v>13</v>
      </c>
      <c r="P5" s="1507">
        <v>14</v>
      </c>
      <c r="Q5" s="1515">
        <v>15</v>
      </c>
      <c r="R5" s="1507">
        <v>16</v>
      </c>
      <c r="S5" s="2389"/>
      <c r="T5" s="2390"/>
      <c r="U5" s="2389"/>
      <c r="V5" s="2390"/>
      <c r="W5" s="1507">
        <v>17</v>
      </c>
      <c r="X5" s="1516">
        <v>18</v>
      </c>
      <c r="Y5" s="1507">
        <v>19</v>
      </c>
      <c r="Z5" s="1507">
        <v>20</v>
      </c>
      <c r="AA5" s="1507">
        <v>21</v>
      </c>
      <c r="AB5" s="1507">
        <v>22</v>
      </c>
      <c r="AC5" s="1515">
        <v>23</v>
      </c>
      <c r="AD5" s="1507">
        <v>24</v>
      </c>
      <c r="AE5" s="1507">
        <v>25</v>
      </c>
      <c r="AF5" s="1507">
        <v>26</v>
      </c>
      <c r="AG5" s="764">
        <v>27</v>
      </c>
      <c r="AH5" s="1507">
        <v>28</v>
      </c>
      <c r="AI5" s="2389"/>
      <c r="AJ5" s="2390"/>
      <c r="AK5" s="2396"/>
      <c r="AL5" s="2397"/>
      <c r="AM5" s="1515">
        <v>29</v>
      </c>
      <c r="AN5" s="1507">
        <v>30</v>
      </c>
      <c r="AO5" s="1515">
        <v>31</v>
      </c>
      <c r="AP5" s="1515">
        <v>32</v>
      </c>
      <c r="AQ5" s="1507">
        <v>33</v>
      </c>
      <c r="AR5" s="1515">
        <v>34</v>
      </c>
      <c r="AS5" s="1507">
        <v>35</v>
      </c>
      <c r="AT5" s="1515">
        <v>36</v>
      </c>
      <c r="AU5" s="1507">
        <v>37</v>
      </c>
      <c r="AV5" s="1507">
        <v>38</v>
      </c>
      <c r="AW5" s="1507">
        <v>39</v>
      </c>
      <c r="AX5" s="1228">
        <v>40</v>
      </c>
      <c r="AY5" s="1507">
        <v>41</v>
      </c>
      <c r="AZ5" s="2389"/>
      <c r="BA5" s="2390"/>
      <c r="BB5" s="2389"/>
      <c r="BC5" s="2390"/>
      <c r="BD5" s="780">
        <v>42</v>
      </c>
      <c r="BE5" s="1515">
        <v>43</v>
      </c>
      <c r="BF5" s="868">
        <v>44</v>
      </c>
      <c r="BG5" s="1515">
        <v>45</v>
      </c>
      <c r="BH5" s="780">
        <v>46</v>
      </c>
      <c r="BI5" s="1515">
        <v>47</v>
      </c>
      <c r="BJ5" s="780">
        <v>48</v>
      </c>
      <c r="BK5" s="1515">
        <v>49</v>
      </c>
      <c r="BL5" s="1507">
        <v>50</v>
      </c>
      <c r="BM5" s="2389"/>
      <c r="BN5" s="2390"/>
    </row>
    <row r="6" spans="1:66" s="1506" customFormat="1" ht="11.45" customHeight="1">
      <c r="A6" s="2400" t="s">
        <v>26</v>
      </c>
      <c r="B6" s="2400"/>
      <c r="C6" s="781">
        <v>2.76</v>
      </c>
      <c r="D6" s="781">
        <v>2.8</v>
      </c>
      <c r="E6" s="781">
        <v>4</v>
      </c>
      <c r="F6" s="781" t="s">
        <v>1513</v>
      </c>
      <c r="G6" s="781" t="s">
        <v>2308</v>
      </c>
      <c r="H6" s="781">
        <v>4</v>
      </c>
      <c r="I6" s="781">
        <v>3.5</v>
      </c>
      <c r="J6" s="781">
        <v>3</v>
      </c>
      <c r="K6" s="781">
        <v>3</v>
      </c>
      <c r="L6" s="810" t="s">
        <v>2670</v>
      </c>
      <c r="M6" s="781">
        <v>2.75</v>
      </c>
      <c r="N6" s="781">
        <v>3.25</v>
      </c>
      <c r="O6" s="781">
        <v>2</v>
      </c>
      <c r="P6" s="781">
        <v>3</v>
      </c>
      <c r="Q6" s="781" t="s">
        <v>2597</v>
      </c>
      <c r="R6" s="781">
        <v>2.04</v>
      </c>
      <c r="S6" s="2400" t="s">
        <v>26</v>
      </c>
      <c r="T6" s="2400"/>
      <c r="U6" s="2375" t="s">
        <v>26</v>
      </c>
      <c r="V6" s="2375"/>
      <c r="W6" s="810">
        <v>2</v>
      </c>
      <c r="X6" s="810">
        <v>2</v>
      </c>
      <c r="Y6" s="781">
        <v>3.25</v>
      </c>
      <c r="Z6" s="781" t="s">
        <v>2309</v>
      </c>
      <c r="AA6" s="781" t="s">
        <v>2310</v>
      </c>
      <c r="AB6" s="781" t="s">
        <v>2420</v>
      </c>
      <c r="AC6" s="781" t="s">
        <v>2312</v>
      </c>
      <c r="AD6" s="781" t="s">
        <v>1995</v>
      </c>
      <c r="AE6" s="781" t="s">
        <v>2614</v>
      </c>
      <c r="AF6" s="781" t="s">
        <v>2311</v>
      </c>
      <c r="AG6" s="781" t="s">
        <v>2447</v>
      </c>
      <c r="AH6" s="781" t="s">
        <v>2685</v>
      </c>
      <c r="AI6" s="2375" t="s">
        <v>26</v>
      </c>
      <c r="AJ6" s="2375"/>
      <c r="AK6" s="2375" t="s">
        <v>26</v>
      </c>
      <c r="AL6" s="2375"/>
      <c r="AM6" s="781" t="s">
        <v>1513</v>
      </c>
      <c r="AN6" s="781" t="s">
        <v>1513</v>
      </c>
      <c r="AO6" s="781" t="s">
        <v>2370</v>
      </c>
      <c r="AP6" s="810">
        <v>4.5</v>
      </c>
      <c r="AQ6" s="781" t="s">
        <v>2627</v>
      </c>
      <c r="AR6" s="781" t="s">
        <v>2314</v>
      </c>
      <c r="AS6" s="810" t="s">
        <v>2439</v>
      </c>
      <c r="AT6" s="781">
        <v>2.5</v>
      </c>
      <c r="AU6" s="781" t="s">
        <v>2699</v>
      </c>
      <c r="AV6" s="781">
        <v>2</v>
      </c>
      <c r="AW6" s="781" t="s">
        <v>2704</v>
      </c>
      <c r="AX6" s="781" t="s">
        <v>2487</v>
      </c>
      <c r="AY6" s="781" t="s">
        <v>2316</v>
      </c>
      <c r="AZ6" s="2375" t="s">
        <v>26</v>
      </c>
      <c r="BA6" s="2375"/>
      <c r="BB6" s="2375" t="s">
        <v>26</v>
      </c>
      <c r="BC6" s="2375"/>
      <c r="BD6" s="781">
        <v>3</v>
      </c>
      <c r="BE6" s="781" t="s">
        <v>2637</v>
      </c>
      <c r="BF6" s="781" t="s">
        <v>1985</v>
      </c>
      <c r="BG6" s="781">
        <v>3</v>
      </c>
      <c r="BH6" s="781">
        <v>4.5</v>
      </c>
      <c r="BI6" s="781">
        <v>0.75</v>
      </c>
      <c r="BJ6" s="781" t="s">
        <v>2317</v>
      </c>
      <c r="BK6" s="781" t="s">
        <v>2644</v>
      </c>
      <c r="BL6" s="781">
        <v>6.5</v>
      </c>
      <c r="BM6" s="2375" t="s">
        <v>26</v>
      </c>
      <c r="BN6" s="2375"/>
    </row>
    <row r="7" spans="1:66" ht="11.45" customHeight="1">
      <c r="A7" s="2398" t="s">
        <v>851</v>
      </c>
      <c r="B7" s="2399"/>
      <c r="C7" s="745" t="s">
        <v>647</v>
      </c>
      <c r="D7" s="745"/>
      <c r="E7" s="745"/>
      <c r="F7" s="721"/>
      <c r="G7" s="721"/>
      <c r="H7" s="721"/>
      <c r="I7" s="721"/>
      <c r="J7" s="721"/>
      <c r="K7" s="721"/>
      <c r="L7" s="721"/>
      <c r="M7" s="721"/>
      <c r="N7" s="721"/>
      <c r="O7" s="721"/>
      <c r="P7" s="721"/>
      <c r="Q7" s="721"/>
      <c r="R7" s="721"/>
      <c r="S7" s="2398" t="s">
        <v>851</v>
      </c>
      <c r="T7" s="2398"/>
      <c r="U7" s="2398" t="s">
        <v>851</v>
      </c>
      <c r="V7" s="2399"/>
      <c r="W7" s="723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 t="s">
        <v>1245</v>
      </c>
      <c r="AI7" s="2398" t="s">
        <v>851</v>
      </c>
      <c r="AJ7" s="2399"/>
      <c r="AK7" s="2398" t="s">
        <v>851</v>
      </c>
      <c r="AL7" s="2399"/>
      <c r="AM7" s="721"/>
      <c r="AN7" s="721"/>
      <c r="AO7" s="721"/>
      <c r="AP7" s="721"/>
      <c r="AQ7" s="721"/>
      <c r="AR7" s="721"/>
      <c r="AS7" s="721"/>
      <c r="AT7" s="721"/>
      <c r="AU7" s="721"/>
      <c r="AV7" s="721"/>
      <c r="AW7" s="721"/>
      <c r="AX7" s="721"/>
      <c r="AY7" s="721"/>
      <c r="AZ7" s="2398" t="s">
        <v>851</v>
      </c>
      <c r="BA7" s="2399"/>
      <c r="BB7" s="2398" t="s">
        <v>851</v>
      </c>
      <c r="BC7" s="2399"/>
      <c r="BD7" s="723"/>
      <c r="BE7" s="723"/>
      <c r="BF7" s="721"/>
      <c r="BG7" s="721"/>
      <c r="BH7" s="721"/>
      <c r="BI7" s="721"/>
      <c r="BJ7" s="721"/>
      <c r="BK7" s="721"/>
      <c r="BL7" s="721"/>
      <c r="BM7" s="2398" t="s">
        <v>851</v>
      </c>
      <c r="BN7" s="2399"/>
    </row>
    <row r="8" spans="1:66" ht="11.45" customHeight="1">
      <c r="A8" s="782" t="s">
        <v>309</v>
      </c>
      <c r="B8" s="783" t="s">
        <v>842</v>
      </c>
      <c r="C8" s="781">
        <v>2.33</v>
      </c>
      <c r="D8" s="781">
        <v>3</v>
      </c>
      <c r="E8" s="781">
        <v>4</v>
      </c>
      <c r="F8" s="781">
        <v>2.5</v>
      </c>
      <c r="G8" s="781">
        <v>3.5</v>
      </c>
      <c r="H8" s="781">
        <v>2.75</v>
      </c>
      <c r="I8" s="781" t="s">
        <v>2585</v>
      </c>
      <c r="J8" s="781">
        <v>3</v>
      </c>
      <c r="K8" s="781" t="s">
        <v>52</v>
      </c>
      <c r="L8" s="781" t="s">
        <v>2671</v>
      </c>
      <c r="M8" s="781" t="s">
        <v>2587</v>
      </c>
      <c r="N8" s="781">
        <v>2</v>
      </c>
      <c r="O8" s="781">
        <v>2</v>
      </c>
      <c r="P8" s="781">
        <v>3</v>
      </c>
      <c r="Q8" s="781">
        <v>2.5</v>
      </c>
      <c r="R8" s="781" t="s">
        <v>2677</v>
      </c>
      <c r="S8" s="1290" t="s">
        <v>309</v>
      </c>
      <c r="T8" s="783" t="s">
        <v>2278</v>
      </c>
      <c r="U8" s="782" t="s">
        <v>309</v>
      </c>
      <c r="V8" s="783" t="s">
        <v>842</v>
      </c>
      <c r="W8" s="720" t="s">
        <v>1577</v>
      </c>
      <c r="X8" s="811">
        <v>2</v>
      </c>
      <c r="Y8" s="720">
        <v>2</v>
      </c>
      <c r="Z8" s="720">
        <v>1.5</v>
      </c>
      <c r="AA8" s="720">
        <v>2.5</v>
      </c>
      <c r="AB8" s="720">
        <v>0.5</v>
      </c>
      <c r="AC8" s="720">
        <v>3</v>
      </c>
      <c r="AD8" s="720">
        <v>2</v>
      </c>
      <c r="AE8" s="720" t="s">
        <v>2313</v>
      </c>
      <c r="AF8" s="720" t="s">
        <v>1513</v>
      </c>
      <c r="AG8" s="720">
        <v>1</v>
      </c>
      <c r="AH8" s="720">
        <v>2.25</v>
      </c>
      <c r="AI8" s="782" t="s">
        <v>309</v>
      </c>
      <c r="AJ8" s="783" t="s">
        <v>842</v>
      </c>
      <c r="AK8" s="782" t="s">
        <v>309</v>
      </c>
      <c r="AL8" s="783" t="s">
        <v>842</v>
      </c>
      <c r="AM8" s="720">
        <v>3</v>
      </c>
      <c r="AN8" s="720">
        <v>1.5</v>
      </c>
      <c r="AO8" s="720">
        <v>0.25</v>
      </c>
      <c r="AP8" s="720" t="s">
        <v>2507</v>
      </c>
      <c r="AQ8" s="720">
        <v>2.5</v>
      </c>
      <c r="AR8" s="720">
        <v>2.5</v>
      </c>
      <c r="AS8" s="720">
        <v>2</v>
      </c>
      <c r="AT8" s="720">
        <v>1.25</v>
      </c>
      <c r="AU8" s="720">
        <v>2.82</v>
      </c>
      <c r="AV8" s="720">
        <v>1</v>
      </c>
      <c r="AW8" s="720">
        <v>2</v>
      </c>
      <c r="AX8" s="720">
        <v>2</v>
      </c>
      <c r="AY8" s="720">
        <v>2.5</v>
      </c>
      <c r="AZ8" s="782" t="s">
        <v>309</v>
      </c>
      <c r="BA8" s="783" t="s">
        <v>842</v>
      </c>
      <c r="BB8" s="782" t="s">
        <v>309</v>
      </c>
      <c r="BC8" s="783" t="s">
        <v>842</v>
      </c>
      <c r="BD8" s="720">
        <v>1</v>
      </c>
      <c r="BE8" s="811">
        <v>0.05</v>
      </c>
      <c r="BF8" s="720" t="s">
        <v>1577</v>
      </c>
      <c r="BG8" s="720">
        <v>2.5</v>
      </c>
      <c r="BH8" s="720">
        <v>0.2</v>
      </c>
      <c r="BI8" s="720">
        <v>0.05</v>
      </c>
      <c r="BJ8" s="720">
        <v>0.5</v>
      </c>
      <c r="BK8" s="811">
        <v>0.05</v>
      </c>
      <c r="BL8" s="720" t="s">
        <v>2312</v>
      </c>
      <c r="BM8" s="782" t="s">
        <v>309</v>
      </c>
      <c r="BN8" s="783" t="s">
        <v>842</v>
      </c>
    </row>
    <row r="9" spans="1:66" ht="11.45" customHeight="1">
      <c r="A9" s="784" t="s">
        <v>488</v>
      </c>
      <c r="B9" s="785" t="s">
        <v>843</v>
      </c>
      <c r="C9" s="745">
        <v>2.71</v>
      </c>
      <c r="D9" s="745">
        <v>3.25</v>
      </c>
      <c r="E9" s="745">
        <v>4.25</v>
      </c>
      <c r="F9" s="721">
        <v>3</v>
      </c>
      <c r="G9" s="721">
        <v>3.5</v>
      </c>
      <c r="H9" s="721">
        <v>3</v>
      </c>
      <c r="I9" s="721" t="s">
        <v>2586</v>
      </c>
      <c r="J9" s="721">
        <v>3</v>
      </c>
      <c r="K9" s="721" t="s">
        <v>52</v>
      </c>
      <c r="L9" s="721" t="s">
        <v>2671</v>
      </c>
      <c r="M9" s="721" t="s">
        <v>2588</v>
      </c>
      <c r="N9" s="721">
        <v>2.5</v>
      </c>
      <c r="O9" s="721">
        <v>2</v>
      </c>
      <c r="P9" s="721">
        <v>3</v>
      </c>
      <c r="Q9" s="721">
        <v>3</v>
      </c>
      <c r="R9" s="721" t="s">
        <v>2678</v>
      </c>
      <c r="S9" s="1291" t="s">
        <v>488</v>
      </c>
      <c r="T9" s="785" t="s">
        <v>2279</v>
      </c>
      <c r="U9" s="784" t="s">
        <v>488</v>
      </c>
      <c r="V9" s="785" t="s">
        <v>843</v>
      </c>
      <c r="W9" s="721" t="s">
        <v>1576</v>
      </c>
      <c r="X9" s="721">
        <v>2</v>
      </c>
      <c r="Y9" s="721">
        <v>2.25</v>
      </c>
      <c r="Z9" s="721">
        <v>1.75</v>
      </c>
      <c r="AA9" s="721">
        <v>3</v>
      </c>
      <c r="AB9" s="721">
        <v>1</v>
      </c>
      <c r="AC9" s="721">
        <v>3.25</v>
      </c>
      <c r="AD9" s="721">
        <v>2</v>
      </c>
      <c r="AE9" s="721" t="s">
        <v>2313</v>
      </c>
      <c r="AF9" s="721">
        <v>4</v>
      </c>
      <c r="AG9" s="721">
        <v>1.5</v>
      </c>
      <c r="AH9" s="721">
        <v>2.75</v>
      </c>
      <c r="AI9" s="784" t="s">
        <v>488</v>
      </c>
      <c r="AJ9" s="785" t="s">
        <v>843</v>
      </c>
      <c r="AK9" s="784" t="s">
        <v>488</v>
      </c>
      <c r="AL9" s="785" t="s">
        <v>843</v>
      </c>
      <c r="AM9" s="721">
        <v>3.5</v>
      </c>
      <c r="AN9" s="721">
        <v>1.75</v>
      </c>
      <c r="AO9" s="721">
        <v>0.75</v>
      </c>
      <c r="AP9" s="721" t="s">
        <v>1974</v>
      </c>
      <c r="AQ9" s="721">
        <v>3.25</v>
      </c>
      <c r="AR9" s="721">
        <v>3</v>
      </c>
      <c r="AS9" s="721">
        <v>2.25</v>
      </c>
      <c r="AT9" s="721">
        <v>1.5</v>
      </c>
      <c r="AU9" s="721">
        <v>2.82</v>
      </c>
      <c r="AV9" s="721">
        <v>2</v>
      </c>
      <c r="AW9" s="721">
        <v>2</v>
      </c>
      <c r="AX9" s="721">
        <v>2.25</v>
      </c>
      <c r="AY9" s="721">
        <v>2.5</v>
      </c>
      <c r="AZ9" s="784" t="s">
        <v>488</v>
      </c>
      <c r="BA9" s="785" t="s">
        <v>843</v>
      </c>
      <c r="BB9" s="784" t="s">
        <v>488</v>
      </c>
      <c r="BC9" s="785" t="s">
        <v>843</v>
      </c>
      <c r="BD9" s="721">
        <v>1</v>
      </c>
      <c r="BE9" s="721">
        <v>0.1</v>
      </c>
      <c r="BF9" s="721" t="s">
        <v>2639</v>
      </c>
      <c r="BG9" s="721">
        <v>3.5</v>
      </c>
      <c r="BH9" s="721">
        <v>0.3</v>
      </c>
      <c r="BI9" s="721">
        <v>0.05</v>
      </c>
      <c r="BJ9" s="721">
        <v>0.5</v>
      </c>
      <c r="BK9" s="721">
        <v>0.05</v>
      </c>
      <c r="BL9" s="721" t="s">
        <v>2646</v>
      </c>
      <c r="BM9" s="784" t="s">
        <v>488</v>
      </c>
      <c r="BN9" s="785" t="s">
        <v>843</v>
      </c>
    </row>
    <row r="10" spans="1:66" ht="11.45" customHeight="1">
      <c r="A10" s="782" t="s">
        <v>301</v>
      </c>
      <c r="B10" s="783" t="s">
        <v>844</v>
      </c>
      <c r="C10" s="781">
        <v>2.96</v>
      </c>
      <c r="D10" s="781">
        <v>3.5</v>
      </c>
      <c r="E10" s="781">
        <v>4.5</v>
      </c>
      <c r="F10" s="720">
        <v>3.25</v>
      </c>
      <c r="G10" s="720">
        <v>3.5</v>
      </c>
      <c r="H10" s="720">
        <v>3.25</v>
      </c>
      <c r="I10" s="720" t="s">
        <v>1513</v>
      </c>
      <c r="J10" s="720">
        <v>3</v>
      </c>
      <c r="K10" s="720" t="s">
        <v>52</v>
      </c>
      <c r="L10" s="720" t="s">
        <v>2671</v>
      </c>
      <c r="M10" s="720" t="s">
        <v>2589</v>
      </c>
      <c r="N10" s="720">
        <v>3.13</v>
      </c>
      <c r="O10" s="720">
        <v>2.5</v>
      </c>
      <c r="P10" s="720">
        <v>4</v>
      </c>
      <c r="Q10" s="720">
        <v>3.5</v>
      </c>
      <c r="R10" s="720" t="s">
        <v>2679</v>
      </c>
      <c r="S10" s="1292" t="s">
        <v>301</v>
      </c>
      <c r="T10" s="783" t="s">
        <v>2280</v>
      </c>
      <c r="U10" s="782" t="s">
        <v>301</v>
      </c>
      <c r="V10" s="783" t="s">
        <v>844</v>
      </c>
      <c r="W10" s="720">
        <v>2</v>
      </c>
      <c r="X10" s="811">
        <v>2</v>
      </c>
      <c r="Y10" s="720">
        <v>2.5</v>
      </c>
      <c r="Z10" s="720">
        <v>2</v>
      </c>
      <c r="AA10" s="720" t="s">
        <v>2606</v>
      </c>
      <c r="AB10" s="720">
        <v>2</v>
      </c>
      <c r="AC10" s="720">
        <v>3.25</v>
      </c>
      <c r="AD10" s="720">
        <v>2</v>
      </c>
      <c r="AE10" s="720" t="s">
        <v>2315</v>
      </c>
      <c r="AF10" s="720" t="s">
        <v>2615</v>
      </c>
      <c r="AG10" s="720">
        <v>2.5</v>
      </c>
      <c r="AH10" s="720">
        <v>3</v>
      </c>
      <c r="AI10" s="782" t="s">
        <v>301</v>
      </c>
      <c r="AJ10" s="783" t="s">
        <v>844</v>
      </c>
      <c r="AK10" s="782" t="s">
        <v>301</v>
      </c>
      <c r="AL10" s="783" t="s">
        <v>844</v>
      </c>
      <c r="AM10" s="720">
        <v>3.75</v>
      </c>
      <c r="AN10" s="720">
        <v>2</v>
      </c>
      <c r="AO10" s="720">
        <v>1.25</v>
      </c>
      <c r="AP10" s="720" t="s">
        <v>1974</v>
      </c>
      <c r="AQ10" s="720">
        <v>3.25</v>
      </c>
      <c r="AR10" s="720">
        <v>3.5</v>
      </c>
      <c r="AS10" s="720">
        <v>2.5</v>
      </c>
      <c r="AT10" s="720">
        <v>1.75</v>
      </c>
      <c r="AU10" s="720">
        <v>3.32</v>
      </c>
      <c r="AV10" s="720">
        <v>3</v>
      </c>
      <c r="AW10" s="720">
        <v>2</v>
      </c>
      <c r="AX10" s="720">
        <v>2.5</v>
      </c>
      <c r="AY10" s="720">
        <v>2.5</v>
      </c>
      <c r="AZ10" s="782" t="s">
        <v>301</v>
      </c>
      <c r="BA10" s="783" t="s">
        <v>844</v>
      </c>
      <c r="BB10" s="782" t="s">
        <v>301</v>
      </c>
      <c r="BC10" s="783" t="s">
        <v>844</v>
      </c>
      <c r="BD10" s="720">
        <v>1.25</v>
      </c>
      <c r="BE10" s="811">
        <v>0.3</v>
      </c>
      <c r="BF10" s="720">
        <v>2.25</v>
      </c>
      <c r="BG10" s="720">
        <v>3.5</v>
      </c>
      <c r="BH10" s="720">
        <v>0.4</v>
      </c>
      <c r="BI10" s="720">
        <v>0.05</v>
      </c>
      <c r="BJ10" s="720">
        <v>0.5</v>
      </c>
      <c r="BK10" s="811">
        <v>0.1</v>
      </c>
      <c r="BL10" s="720" t="s">
        <v>2647</v>
      </c>
      <c r="BM10" s="782" t="s">
        <v>301</v>
      </c>
      <c r="BN10" s="783" t="s">
        <v>844</v>
      </c>
    </row>
    <row r="11" spans="1:66" ht="11.45" customHeight="1">
      <c r="A11" s="784" t="s">
        <v>302</v>
      </c>
      <c r="B11" s="785" t="s">
        <v>845</v>
      </c>
      <c r="C11" s="745">
        <v>3.21</v>
      </c>
      <c r="D11" s="745">
        <v>3.75</v>
      </c>
      <c r="E11" s="745">
        <v>4.75</v>
      </c>
      <c r="F11" s="721">
        <v>3.5</v>
      </c>
      <c r="G11" s="721">
        <v>3.5</v>
      </c>
      <c r="H11" s="721">
        <v>3.5</v>
      </c>
      <c r="I11" s="721" t="s">
        <v>2310</v>
      </c>
      <c r="J11" s="721">
        <v>3</v>
      </c>
      <c r="K11" s="721" t="s">
        <v>52</v>
      </c>
      <c r="L11" s="721" t="s">
        <v>2671</v>
      </c>
      <c r="M11" s="721" t="s">
        <v>2590</v>
      </c>
      <c r="N11" s="721">
        <v>3.5</v>
      </c>
      <c r="O11" s="721">
        <v>3</v>
      </c>
      <c r="P11" s="721">
        <v>4</v>
      </c>
      <c r="Q11" s="721">
        <v>4</v>
      </c>
      <c r="R11" s="721" t="s">
        <v>2680</v>
      </c>
      <c r="S11" s="1291" t="s">
        <v>302</v>
      </c>
      <c r="T11" s="785" t="s">
        <v>845</v>
      </c>
      <c r="U11" s="784" t="s">
        <v>302</v>
      </c>
      <c r="V11" s="785" t="s">
        <v>845</v>
      </c>
      <c r="W11" s="721">
        <v>2</v>
      </c>
      <c r="X11" s="721">
        <v>2</v>
      </c>
      <c r="Y11" s="721">
        <v>2.75</v>
      </c>
      <c r="Z11" s="721">
        <v>2.25</v>
      </c>
      <c r="AA11" s="721" t="s">
        <v>2606</v>
      </c>
      <c r="AB11" s="721">
        <v>2</v>
      </c>
      <c r="AC11" s="721">
        <v>3.5</v>
      </c>
      <c r="AD11" s="721">
        <v>2</v>
      </c>
      <c r="AE11" s="721" t="s">
        <v>2313</v>
      </c>
      <c r="AF11" s="721" t="s">
        <v>2615</v>
      </c>
      <c r="AG11" s="721">
        <v>3</v>
      </c>
      <c r="AH11" s="721">
        <v>3.25</v>
      </c>
      <c r="AI11" s="784" t="s">
        <v>302</v>
      </c>
      <c r="AJ11" s="785" t="s">
        <v>845</v>
      </c>
      <c r="AK11" s="784" t="s">
        <v>302</v>
      </c>
      <c r="AL11" s="785" t="s">
        <v>845</v>
      </c>
      <c r="AM11" s="721">
        <v>4</v>
      </c>
      <c r="AN11" s="721">
        <v>2.5</v>
      </c>
      <c r="AO11" s="721">
        <v>1.5</v>
      </c>
      <c r="AP11" s="721" t="s">
        <v>2621</v>
      </c>
      <c r="AQ11" s="721">
        <v>4</v>
      </c>
      <c r="AR11" s="721">
        <v>4</v>
      </c>
      <c r="AS11" s="721">
        <v>2.75</v>
      </c>
      <c r="AT11" s="721">
        <v>2</v>
      </c>
      <c r="AU11" s="721">
        <v>3.32</v>
      </c>
      <c r="AV11" s="721">
        <v>4.5</v>
      </c>
      <c r="AW11" s="721" t="s">
        <v>2705</v>
      </c>
      <c r="AX11" s="721">
        <v>2.75</v>
      </c>
      <c r="AY11" s="721">
        <v>2.75</v>
      </c>
      <c r="AZ11" s="784" t="s">
        <v>302</v>
      </c>
      <c r="BA11" s="785" t="s">
        <v>845</v>
      </c>
      <c r="BB11" s="784" t="s">
        <v>302</v>
      </c>
      <c r="BC11" s="785" t="s">
        <v>845</v>
      </c>
      <c r="BD11" s="721">
        <v>1.5</v>
      </c>
      <c r="BE11" s="721">
        <v>0.5</v>
      </c>
      <c r="BF11" s="721">
        <v>4.5</v>
      </c>
      <c r="BG11" s="721">
        <v>3.5</v>
      </c>
      <c r="BH11" s="721">
        <v>0.5</v>
      </c>
      <c r="BI11" s="721">
        <v>0.05</v>
      </c>
      <c r="BJ11" s="721">
        <v>0.5</v>
      </c>
      <c r="BK11" s="721">
        <v>0.3</v>
      </c>
      <c r="BL11" s="721" t="s">
        <v>2647</v>
      </c>
      <c r="BM11" s="784" t="s">
        <v>302</v>
      </c>
      <c r="BN11" s="785" t="s">
        <v>845</v>
      </c>
    </row>
    <row r="12" spans="1:66" ht="11.45" customHeight="1">
      <c r="A12" s="782" t="s">
        <v>307</v>
      </c>
      <c r="B12" s="783" t="s">
        <v>1346</v>
      </c>
      <c r="C12" s="781">
        <v>3.46</v>
      </c>
      <c r="D12" s="781">
        <v>3.75</v>
      </c>
      <c r="E12" s="781">
        <v>5</v>
      </c>
      <c r="F12" s="720" t="s">
        <v>2584</v>
      </c>
      <c r="G12" s="720">
        <v>3.5</v>
      </c>
      <c r="H12" s="720">
        <v>3.75</v>
      </c>
      <c r="I12" s="720">
        <v>3.5</v>
      </c>
      <c r="J12" s="720">
        <v>3</v>
      </c>
      <c r="K12" s="720" t="s">
        <v>52</v>
      </c>
      <c r="L12" s="720" t="s">
        <v>2671</v>
      </c>
      <c r="M12" s="720" t="s">
        <v>2591</v>
      </c>
      <c r="N12" s="720">
        <v>3.75</v>
      </c>
      <c r="O12" s="720">
        <v>3.5</v>
      </c>
      <c r="P12" s="720">
        <v>4</v>
      </c>
      <c r="Q12" s="720">
        <v>4.5</v>
      </c>
      <c r="R12" s="720">
        <v>5.52</v>
      </c>
      <c r="S12" s="1292" t="s">
        <v>307</v>
      </c>
      <c r="T12" s="783" t="s">
        <v>1346</v>
      </c>
      <c r="U12" s="782" t="s">
        <v>307</v>
      </c>
      <c r="V12" s="783" t="s">
        <v>1346</v>
      </c>
      <c r="W12" s="720">
        <v>2</v>
      </c>
      <c r="X12" s="811">
        <v>2</v>
      </c>
      <c r="Y12" s="720">
        <v>3</v>
      </c>
      <c r="Z12" s="720">
        <v>2.5</v>
      </c>
      <c r="AA12" s="720">
        <v>3</v>
      </c>
      <c r="AB12" s="720" t="s">
        <v>2607</v>
      </c>
      <c r="AC12" s="720">
        <v>3.5</v>
      </c>
      <c r="AD12" s="720">
        <v>6</v>
      </c>
      <c r="AE12" s="720" t="s">
        <v>2313</v>
      </c>
      <c r="AF12" s="720" t="s">
        <v>2615</v>
      </c>
      <c r="AG12" s="720">
        <v>3.5</v>
      </c>
      <c r="AH12" s="720">
        <v>3.75</v>
      </c>
      <c r="AI12" s="782" t="s">
        <v>307</v>
      </c>
      <c r="AJ12" s="783" t="s">
        <v>1346</v>
      </c>
      <c r="AK12" s="782" t="s">
        <v>307</v>
      </c>
      <c r="AL12" s="783" t="s">
        <v>1346</v>
      </c>
      <c r="AM12" s="720">
        <v>4.5</v>
      </c>
      <c r="AN12" s="720">
        <v>2.5</v>
      </c>
      <c r="AO12" s="720">
        <v>2</v>
      </c>
      <c r="AP12" s="811" t="s">
        <v>2622</v>
      </c>
      <c r="AQ12" s="720">
        <v>4.25</v>
      </c>
      <c r="AR12" s="720">
        <v>4</v>
      </c>
      <c r="AS12" s="720" t="s">
        <v>2630</v>
      </c>
      <c r="AT12" s="720">
        <v>2.5</v>
      </c>
      <c r="AU12" s="720">
        <v>4.07</v>
      </c>
      <c r="AV12" s="720">
        <v>6.5</v>
      </c>
      <c r="AW12" s="720">
        <v>2</v>
      </c>
      <c r="AX12" s="720">
        <v>3</v>
      </c>
      <c r="AY12" s="720">
        <v>3</v>
      </c>
      <c r="AZ12" s="782" t="s">
        <v>307</v>
      </c>
      <c r="BA12" s="783" t="s">
        <v>1346</v>
      </c>
      <c r="BB12" s="782" t="s">
        <v>307</v>
      </c>
      <c r="BC12" s="783" t="s">
        <v>1346</v>
      </c>
      <c r="BD12" s="720">
        <v>2.5</v>
      </c>
      <c r="BE12" s="811">
        <v>1</v>
      </c>
      <c r="BF12" s="720">
        <v>4.5</v>
      </c>
      <c r="BG12" s="720">
        <v>3.5</v>
      </c>
      <c r="BH12" s="720">
        <v>1</v>
      </c>
      <c r="BI12" s="720">
        <v>0.7</v>
      </c>
      <c r="BJ12" s="720">
        <v>0.5</v>
      </c>
      <c r="BK12" s="811">
        <v>0.8</v>
      </c>
      <c r="BL12" s="720">
        <v>5</v>
      </c>
      <c r="BM12" s="782" t="s">
        <v>307</v>
      </c>
      <c r="BN12" s="783" t="s">
        <v>1346</v>
      </c>
    </row>
    <row r="13" spans="1:66" ht="11.45" customHeight="1">
      <c r="A13" s="2376" t="s">
        <v>27</v>
      </c>
      <c r="B13" s="2376"/>
      <c r="C13" s="786"/>
      <c r="D13" s="786"/>
      <c r="E13" s="786"/>
      <c r="F13" s="786"/>
      <c r="G13" s="786"/>
      <c r="H13" s="786"/>
      <c r="I13" s="786"/>
      <c r="J13" s="786"/>
      <c r="K13" s="786"/>
      <c r="L13" s="787"/>
      <c r="M13" s="786"/>
      <c r="N13" s="786"/>
      <c r="O13" s="786"/>
      <c r="P13" s="786"/>
      <c r="Q13" s="786"/>
      <c r="R13" s="786"/>
      <c r="S13" s="2376" t="s">
        <v>27</v>
      </c>
      <c r="T13" s="2376"/>
      <c r="U13" s="2376" t="s">
        <v>27</v>
      </c>
      <c r="V13" s="2376"/>
      <c r="W13" s="723"/>
      <c r="X13" s="723"/>
      <c r="Y13" s="723"/>
      <c r="Z13" s="723"/>
      <c r="AA13" s="723"/>
      <c r="AB13" s="723"/>
      <c r="AC13" s="723"/>
      <c r="AD13" s="723"/>
      <c r="AE13" s="723"/>
      <c r="AF13" s="723"/>
      <c r="AG13" s="721"/>
      <c r="AH13" s="723"/>
      <c r="AI13" s="2376" t="s">
        <v>27</v>
      </c>
      <c r="AJ13" s="2376"/>
      <c r="AK13" s="2376" t="s">
        <v>27</v>
      </c>
      <c r="AL13" s="2376"/>
      <c r="AM13" s="723"/>
      <c r="AN13" s="723"/>
      <c r="AO13" s="723"/>
      <c r="AP13" s="723"/>
      <c r="AQ13" s="723"/>
      <c r="AR13" s="723"/>
      <c r="AS13" s="723"/>
      <c r="AT13" s="723"/>
      <c r="AU13" s="723"/>
      <c r="AV13" s="723"/>
      <c r="AW13" s="723"/>
      <c r="AX13" s="723"/>
      <c r="AY13" s="723"/>
      <c r="AZ13" s="2376" t="s">
        <v>27</v>
      </c>
      <c r="BA13" s="2376"/>
      <c r="BB13" s="2376" t="s">
        <v>27</v>
      </c>
      <c r="BC13" s="2376"/>
      <c r="BD13" s="723"/>
      <c r="BE13" s="723"/>
      <c r="BF13" s="723"/>
      <c r="BG13" s="723"/>
      <c r="BH13" s="723"/>
      <c r="BI13" s="723"/>
      <c r="BJ13" s="721"/>
      <c r="BK13" s="721"/>
      <c r="BL13" s="721"/>
      <c r="BM13" s="2376" t="s">
        <v>27</v>
      </c>
      <c r="BN13" s="2376"/>
    </row>
    <row r="14" spans="1:66" ht="11.45" customHeight="1">
      <c r="A14" s="782" t="s">
        <v>309</v>
      </c>
      <c r="B14" s="783" t="s">
        <v>846</v>
      </c>
      <c r="C14" s="781" t="s">
        <v>2669</v>
      </c>
      <c r="D14" s="781">
        <v>5.75</v>
      </c>
      <c r="E14" s="811">
        <v>7</v>
      </c>
      <c r="F14" s="720" t="s">
        <v>2368</v>
      </c>
      <c r="G14" s="720">
        <v>6.75</v>
      </c>
      <c r="H14" s="720">
        <v>7</v>
      </c>
      <c r="I14" s="720" t="s">
        <v>1086</v>
      </c>
      <c r="J14" s="720">
        <v>7</v>
      </c>
      <c r="K14" s="720" t="s">
        <v>52</v>
      </c>
      <c r="L14" s="720" t="s">
        <v>2672</v>
      </c>
      <c r="M14" s="720" t="s">
        <v>2592</v>
      </c>
      <c r="N14" s="720">
        <v>8.5</v>
      </c>
      <c r="O14" s="720">
        <v>8</v>
      </c>
      <c r="P14" s="811" t="s">
        <v>2594</v>
      </c>
      <c r="Q14" s="811" t="s">
        <v>2387</v>
      </c>
      <c r="R14" s="811">
        <v>7.15</v>
      </c>
      <c r="S14" s="1292" t="s">
        <v>309</v>
      </c>
      <c r="T14" s="783" t="s">
        <v>846</v>
      </c>
      <c r="U14" s="782" t="s">
        <v>309</v>
      </c>
      <c r="V14" s="783" t="s">
        <v>846</v>
      </c>
      <c r="W14" s="720" t="s">
        <v>2599</v>
      </c>
      <c r="X14" s="811" t="s">
        <v>2682</v>
      </c>
      <c r="Y14" s="720" t="s">
        <v>2603</v>
      </c>
      <c r="Z14" s="720" t="s">
        <v>2369</v>
      </c>
      <c r="AA14" s="720">
        <v>6</v>
      </c>
      <c r="AB14" s="720" t="s">
        <v>2608</v>
      </c>
      <c r="AC14" s="720" t="s">
        <v>2610</v>
      </c>
      <c r="AD14" s="720" t="s">
        <v>2609</v>
      </c>
      <c r="AE14" s="720" t="s">
        <v>2683</v>
      </c>
      <c r="AF14" s="720" t="s">
        <v>2616</v>
      </c>
      <c r="AG14" s="720" t="s">
        <v>2394</v>
      </c>
      <c r="AH14" s="720" t="s">
        <v>2686</v>
      </c>
      <c r="AI14" s="782" t="s">
        <v>309</v>
      </c>
      <c r="AJ14" s="783" t="s">
        <v>846</v>
      </c>
      <c r="AK14" s="782" t="s">
        <v>309</v>
      </c>
      <c r="AL14" s="783" t="s">
        <v>846</v>
      </c>
      <c r="AM14" s="720" t="s">
        <v>2618</v>
      </c>
      <c r="AN14" s="720" t="s">
        <v>2690</v>
      </c>
      <c r="AO14" s="722" t="s">
        <v>2620</v>
      </c>
      <c r="AP14" s="720" t="s">
        <v>2623</v>
      </c>
      <c r="AQ14" s="720" t="s">
        <v>2628</v>
      </c>
      <c r="AR14" s="720" t="s">
        <v>2368</v>
      </c>
      <c r="AS14" s="720" t="s">
        <v>2696</v>
      </c>
      <c r="AT14" s="720" t="s">
        <v>2698</v>
      </c>
      <c r="AU14" s="720" t="s">
        <v>2700</v>
      </c>
      <c r="AV14" s="720" t="s">
        <v>2703</v>
      </c>
      <c r="AW14" s="720" t="s">
        <v>2698</v>
      </c>
      <c r="AX14" s="720">
        <v>8</v>
      </c>
      <c r="AY14" s="720" t="s">
        <v>2707</v>
      </c>
      <c r="AZ14" s="782" t="s">
        <v>309</v>
      </c>
      <c r="BA14" s="783" t="s">
        <v>846</v>
      </c>
      <c r="BB14" s="782" t="s">
        <v>309</v>
      </c>
      <c r="BC14" s="783" t="s">
        <v>846</v>
      </c>
      <c r="BD14" s="720" t="s">
        <v>2634</v>
      </c>
      <c r="BE14" s="720" t="s">
        <v>2440</v>
      </c>
      <c r="BF14" s="720" t="s">
        <v>2448</v>
      </c>
      <c r="BG14" s="720">
        <v>7</v>
      </c>
      <c r="BH14" s="720">
        <v>5.75</v>
      </c>
      <c r="BI14" s="720">
        <v>0.1</v>
      </c>
      <c r="BJ14" s="720" t="s">
        <v>2640</v>
      </c>
      <c r="BK14" s="720" t="s">
        <v>2712</v>
      </c>
      <c r="BL14" s="720" t="s">
        <v>2713</v>
      </c>
      <c r="BM14" s="782" t="s">
        <v>309</v>
      </c>
      <c r="BN14" s="783" t="s">
        <v>846</v>
      </c>
    </row>
    <row r="15" spans="1:66" ht="11.45" customHeight="1">
      <c r="A15" s="784" t="s">
        <v>488</v>
      </c>
      <c r="B15" s="785" t="s">
        <v>847</v>
      </c>
      <c r="C15" s="745">
        <v>6.31</v>
      </c>
      <c r="D15" s="721">
        <v>7</v>
      </c>
      <c r="E15" s="721">
        <v>7.25</v>
      </c>
      <c r="F15" s="721" t="s">
        <v>2386</v>
      </c>
      <c r="G15" s="721">
        <v>6.75</v>
      </c>
      <c r="H15" s="721">
        <v>7.25</v>
      </c>
      <c r="I15" s="721">
        <v>7</v>
      </c>
      <c r="J15" s="721">
        <v>7.25</v>
      </c>
      <c r="K15" s="721" t="s">
        <v>52</v>
      </c>
      <c r="L15" s="721" t="s">
        <v>2673</v>
      </c>
      <c r="M15" s="721" t="s">
        <v>2593</v>
      </c>
      <c r="N15" s="721">
        <v>8.6300000000000008</v>
      </c>
      <c r="O15" s="721">
        <v>8.25</v>
      </c>
      <c r="P15" s="721" t="s">
        <v>2595</v>
      </c>
      <c r="Q15" s="721" t="s">
        <v>2598</v>
      </c>
      <c r="R15" s="721">
        <v>7.41</v>
      </c>
      <c r="S15" s="1291" t="s">
        <v>488</v>
      </c>
      <c r="T15" s="785" t="s">
        <v>847</v>
      </c>
      <c r="U15" s="784" t="s">
        <v>488</v>
      </c>
      <c r="V15" s="785" t="s">
        <v>847</v>
      </c>
      <c r="W15" s="721" t="s">
        <v>2600</v>
      </c>
      <c r="X15" s="721">
        <v>8.75</v>
      </c>
      <c r="Y15" s="721" t="s">
        <v>2604</v>
      </c>
      <c r="Z15" s="721" t="s">
        <v>2369</v>
      </c>
      <c r="AA15" s="721">
        <v>6</v>
      </c>
      <c r="AB15" s="721" t="s">
        <v>2609</v>
      </c>
      <c r="AC15" s="721" t="s">
        <v>2611</v>
      </c>
      <c r="AD15" s="721" t="s">
        <v>2613</v>
      </c>
      <c r="AE15" s="721" t="s">
        <v>2618</v>
      </c>
      <c r="AF15" s="721" t="s">
        <v>2684</v>
      </c>
      <c r="AG15" s="721" t="s">
        <v>2385</v>
      </c>
      <c r="AH15" s="721" t="s">
        <v>2687</v>
      </c>
      <c r="AI15" s="784" t="s">
        <v>488</v>
      </c>
      <c r="AJ15" s="785" t="s">
        <v>847</v>
      </c>
      <c r="AK15" s="784" t="s">
        <v>488</v>
      </c>
      <c r="AL15" s="785" t="s">
        <v>847</v>
      </c>
      <c r="AM15" s="721" t="s">
        <v>2617</v>
      </c>
      <c r="AN15" s="721" t="s">
        <v>2691</v>
      </c>
      <c r="AO15" s="723" t="s">
        <v>2693</v>
      </c>
      <c r="AP15" s="721" t="s">
        <v>2624</v>
      </c>
      <c r="AQ15" s="721" t="s">
        <v>2695</v>
      </c>
      <c r="AR15" s="721" t="s">
        <v>2368</v>
      </c>
      <c r="AS15" s="721" t="s">
        <v>2650</v>
      </c>
      <c r="AT15" s="721" t="s">
        <v>2631</v>
      </c>
      <c r="AU15" s="721" t="s">
        <v>2701</v>
      </c>
      <c r="AV15" s="721" t="s">
        <v>2703</v>
      </c>
      <c r="AW15" s="721" t="s">
        <v>2706</v>
      </c>
      <c r="AX15" s="721">
        <v>8.5</v>
      </c>
      <c r="AY15" s="721" t="s">
        <v>2707</v>
      </c>
      <c r="AZ15" s="784" t="s">
        <v>488</v>
      </c>
      <c r="BA15" s="785" t="s">
        <v>847</v>
      </c>
      <c r="BB15" s="784" t="s">
        <v>488</v>
      </c>
      <c r="BC15" s="785" t="s">
        <v>847</v>
      </c>
      <c r="BD15" s="721" t="s">
        <v>2709</v>
      </c>
      <c r="BE15" s="721" t="s">
        <v>2637</v>
      </c>
      <c r="BF15" s="721" t="s">
        <v>2448</v>
      </c>
      <c r="BG15" s="721" t="s">
        <v>1396</v>
      </c>
      <c r="BH15" s="721">
        <v>5.75</v>
      </c>
      <c r="BI15" s="721">
        <v>0.1</v>
      </c>
      <c r="BJ15" s="721" t="s">
        <v>2641</v>
      </c>
      <c r="BK15" s="721" t="s">
        <v>2422</v>
      </c>
      <c r="BL15" s="721" t="s">
        <v>2714</v>
      </c>
      <c r="BM15" s="784" t="s">
        <v>488</v>
      </c>
      <c r="BN15" s="785" t="s">
        <v>847</v>
      </c>
    </row>
    <row r="16" spans="1:66" ht="11.45" customHeight="1">
      <c r="A16" s="782" t="s">
        <v>301</v>
      </c>
      <c r="B16" s="783" t="s">
        <v>848</v>
      </c>
      <c r="C16" s="781">
        <v>7.25</v>
      </c>
      <c r="D16" s="810">
        <v>7.25</v>
      </c>
      <c r="E16" s="720">
        <v>7.5</v>
      </c>
      <c r="F16" s="720">
        <v>7</v>
      </c>
      <c r="G16" s="720" t="s">
        <v>2386</v>
      </c>
      <c r="H16" s="720">
        <v>7.5</v>
      </c>
      <c r="I16" s="720" t="s">
        <v>52</v>
      </c>
      <c r="J16" s="720">
        <v>7.5</v>
      </c>
      <c r="K16" s="720" t="s">
        <v>2428</v>
      </c>
      <c r="L16" s="720" t="s">
        <v>2674</v>
      </c>
      <c r="M16" s="720" t="s">
        <v>1393</v>
      </c>
      <c r="N16" s="720">
        <v>9</v>
      </c>
      <c r="O16" s="720">
        <v>8.5</v>
      </c>
      <c r="P16" s="720" t="s">
        <v>2596</v>
      </c>
      <c r="Q16" s="720" t="s">
        <v>1086</v>
      </c>
      <c r="R16" s="720">
        <v>7.62</v>
      </c>
      <c r="S16" s="1292" t="s">
        <v>301</v>
      </c>
      <c r="T16" s="783" t="s">
        <v>848</v>
      </c>
      <c r="U16" s="782" t="s">
        <v>301</v>
      </c>
      <c r="V16" s="783" t="s">
        <v>848</v>
      </c>
      <c r="W16" s="720" t="s">
        <v>2601</v>
      </c>
      <c r="X16" s="811">
        <v>8.75</v>
      </c>
      <c r="Y16" s="720" t="s">
        <v>2605</v>
      </c>
      <c r="Z16" s="720" t="s">
        <v>2654</v>
      </c>
      <c r="AA16" s="720">
        <v>6</v>
      </c>
      <c r="AB16" s="720" t="s">
        <v>2609</v>
      </c>
      <c r="AC16" s="720" t="s">
        <v>2612</v>
      </c>
      <c r="AD16" s="720" t="s">
        <v>2384</v>
      </c>
      <c r="AE16" s="720" t="s">
        <v>2618</v>
      </c>
      <c r="AF16" s="720" t="s">
        <v>2649</v>
      </c>
      <c r="AG16" s="720" t="s">
        <v>2395</v>
      </c>
      <c r="AH16" s="720" t="s">
        <v>2688</v>
      </c>
      <c r="AI16" s="782" t="s">
        <v>301</v>
      </c>
      <c r="AJ16" s="783" t="s">
        <v>848</v>
      </c>
      <c r="AK16" s="782" t="s">
        <v>301</v>
      </c>
      <c r="AL16" s="783" t="s">
        <v>848</v>
      </c>
      <c r="AM16" s="720" t="s">
        <v>2618</v>
      </c>
      <c r="AN16" s="720" t="s">
        <v>2692</v>
      </c>
      <c r="AO16" s="720" t="s">
        <v>2694</v>
      </c>
      <c r="AP16" s="720" t="s">
        <v>2625</v>
      </c>
      <c r="AQ16" s="720" t="s">
        <v>2629</v>
      </c>
      <c r="AR16" s="720" t="s">
        <v>2486</v>
      </c>
      <c r="AS16" s="720" t="s">
        <v>2697</v>
      </c>
      <c r="AT16" s="720" t="s">
        <v>2632</v>
      </c>
      <c r="AU16" s="720" t="s">
        <v>2702</v>
      </c>
      <c r="AV16" s="720" t="s">
        <v>2703</v>
      </c>
      <c r="AW16" s="720" t="s">
        <v>2653</v>
      </c>
      <c r="AX16" s="720">
        <v>8.75</v>
      </c>
      <c r="AY16" s="720" t="s">
        <v>2708</v>
      </c>
      <c r="AZ16" s="782" t="s">
        <v>301</v>
      </c>
      <c r="BA16" s="783" t="s">
        <v>848</v>
      </c>
      <c r="BB16" s="782" t="s">
        <v>301</v>
      </c>
      <c r="BC16" s="783" t="s">
        <v>848</v>
      </c>
      <c r="BD16" s="722" t="s">
        <v>2635</v>
      </c>
      <c r="BE16" s="720" t="s">
        <v>2711</v>
      </c>
      <c r="BF16" s="720" t="s">
        <v>2448</v>
      </c>
      <c r="BG16" s="720" t="s">
        <v>1396</v>
      </c>
      <c r="BH16" s="720">
        <v>5.75</v>
      </c>
      <c r="BI16" s="720">
        <v>0.1</v>
      </c>
      <c r="BJ16" s="720" t="s">
        <v>2642</v>
      </c>
      <c r="BK16" s="720" t="s">
        <v>2645</v>
      </c>
      <c r="BL16" s="720" t="s">
        <v>2715</v>
      </c>
      <c r="BM16" s="782" t="s">
        <v>301</v>
      </c>
      <c r="BN16" s="783" t="s">
        <v>848</v>
      </c>
    </row>
    <row r="17" spans="1:66" ht="11.45" customHeight="1">
      <c r="A17" s="784" t="s">
        <v>302</v>
      </c>
      <c r="B17" s="785" t="s">
        <v>849</v>
      </c>
      <c r="C17" s="745">
        <v>7.25</v>
      </c>
      <c r="D17" s="745">
        <v>6</v>
      </c>
      <c r="E17" s="721" t="s">
        <v>52</v>
      </c>
      <c r="F17" s="721">
        <v>7</v>
      </c>
      <c r="G17" s="721">
        <v>7</v>
      </c>
      <c r="H17" s="721" t="s">
        <v>52</v>
      </c>
      <c r="I17" s="721">
        <v>7</v>
      </c>
      <c r="J17" s="721">
        <v>7.5</v>
      </c>
      <c r="K17" s="721" t="s">
        <v>52</v>
      </c>
      <c r="L17" s="721" t="s">
        <v>2675</v>
      </c>
      <c r="M17" s="721" t="s">
        <v>2357</v>
      </c>
      <c r="N17" s="721">
        <v>8.75</v>
      </c>
      <c r="O17" s="721">
        <v>8.5</v>
      </c>
      <c r="P17" s="721" t="s">
        <v>2596</v>
      </c>
      <c r="Q17" s="721" t="s">
        <v>1086</v>
      </c>
      <c r="R17" s="721">
        <v>7.62</v>
      </c>
      <c r="S17" s="1291" t="s">
        <v>302</v>
      </c>
      <c r="T17" s="785" t="s">
        <v>849</v>
      </c>
      <c r="U17" s="784" t="s">
        <v>302</v>
      </c>
      <c r="V17" s="785" t="s">
        <v>849</v>
      </c>
      <c r="W17" s="721" t="s">
        <v>2602</v>
      </c>
      <c r="X17" s="721">
        <v>8.75</v>
      </c>
      <c r="Y17" s="721">
        <v>8.25</v>
      </c>
      <c r="Z17" s="721" t="s">
        <v>2405</v>
      </c>
      <c r="AA17" s="721" t="s">
        <v>52</v>
      </c>
      <c r="AB17" s="721" t="s">
        <v>2396</v>
      </c>
      <c r="AC17" s="721" t="s">
        <v>2612</v>
      </c>
      <c r="AD17" s="721" t="s">
        <v>52</v>
      </c>
      <c r="AE17" s="721" t="s">
        <v>2618</v>
      </c>
      <c r="AF17" s="721" t="s">
        <v>52</v>
      </c>
      <c r="AG17" s="721" t="s">
        <v>2395</v>
      </c>
      <c r="AH17" s="721" t="s">
        <v>2689</v>
      </c>
      <c r="AI17" s="784" t="s">
        <v>302</v>
      </c>
      <c r="AJ17" s="785" t="s">
        <v>849</v>
      </c>
      <c r="AK17" s="784" t="s">
        <v>302</v>
      </c>
      <c r="AL17" s="785" t="s">
        <v>849</v>
      </c>
      <c r="AM17" s="721" t="s">
        <v>2619</v>
      </c>
      <c r="AN17" s="721" t="s">
        <v>2692</v>
      </c>
      <c r="AO17" s="721" t="s">
        <v>2694</v>
      </c>
      <c r="AP17" s="721" t="s">
        <v>2626</v>
      </c>
      <c r="AQ17" s="721" t="s">
        <v>52</v>
      </c>
      <c r="AR17" s="721" t="s">
        <v>2405</v>
      </c>
      <c r="AS17" s="721">
        <v>8</v>
      </c>
      <c r="AT17" s="721" t="s">
        <v>2653</v>
      </c>
      <c r="AU17" s="721">
        <v>7.78</v>
      </c>
      <c r="AV17" s="721" t="s">
        <v>52</v>
      </c>
      <c r="AW17" s="721" t="s">
        <v>2626</v>
      </c>
      <c r="AX17" s="721">
        <v>8.75</v>
      </c>
      <c r="AY17" s="721" t="s">
        <v>2633</v>
      </c>
      <c r="AZ17" s="784" t="s">
        <v>302</v>
      </c>
      <c r="BA17" s="785" t="s">
        <v>849</v>
      </c>
      <c r="BB17" s="784" t="s">
        <v>302</v>
      </c>
      <c r="BC17" s="785" t="s">
        <v>849</v>
      </c>
      <c r="BD17" s="721" t="s">
        <v>2636</v>
      </c>
      <c r="BE17" s="721" t="s">
        <v>2441</v>
      </c>
      <c r="BF17" s="721" t="s">
        <v>2448</v>
      </c>
      <c r="BG17" s="721">
        <v>7.5</v>
      </c>
      <c r="BH17" s="721">
        <v>6.5</v>
      </c>
      <c r="BI17" s="788" t="s">
        <v>52</v>
      </c>
      <c r="BJ17" s="721" t="s">
        <v>2643</v>
      </c>
      <c r="BK17" s="721" t="s">
        <v>2645</v>
      </c>
      <c r="BL17" s="721">
        <v>2</v>
      </c>
      <c r="BM17" s="784" t="s">
        <v>302</v>
      </c>
      <c r="BN17" s="785" t="s">
        <v>849</v>
      </c>
    </row>
    <row r="18" spans="1:66" ht="11.45" customHeight="1">
      <c r="A18" s="782" t="s">
        <v>307</v>
      </c>
      <c r="B18" s="783" t="s">
        <v>850</v>
      </c>
      <c r="C18" s="781">
        <v>7.25</v>
      </c>
      <c r="D18" s="781">
        <v>7</v>
      </c>
      <c r="E18" s="720" t="s">
        <v>52</v>
      </c>
      <c r="F18" s="720">
        <v>7</v>
      </c>
      <c r="G18" s="720" t="s">
        <v>2386</v>
      </c>
      <c r="H18" s="720" t="s">
        <v>52</v>
      </c>
      <c r="I18" s="720" t="s">
        <v>52</v>
      </c>
      <c r="J18" s="720" t="s">
        <v>2017</v>
      </c>
      <c r="K18" s="720" t="s">
        <v>52</v>
      </c>
      <c r="L18" s="720" t="s">
        <v>2676</v>
      </c>
      <c r="M18" s="720" t="s">
        <v>2357</v>
      </c>
      <c r="N18" s="720" t="s">
        <v>52</v>
      </c>
      <c r="O18" s="720">
        <v>8.5</v>
      </c>
      <c r="P18" s="720" t="s">
        <v>2596</v>
      </c>
      <c r="Q18" s="720" t="s">
        <v>1086</v>
      </c>
      <c r="R18" s="818" t="s">
        <v>2681</v>
      </c>
      <c r="S18" s="1292" t="s">
        <v>307</v>
      </c>
      <c r="T18" s="783" t="s">
        <v>850</v>
      </c>
      <c r="U18" s="782" t="s">
        <v>307</v>
      </c>
      <c r="V18" s="783" t="s">
        <v>850</v>
      </c>
      <c r="W18" s="720" t="s">
        <v>2602</v>
      </c>
      <c r="X18" s="811">
        <v>8.75</v>
      </c>
      <c r="Y18" s="811">
        <v>8.49</v>
      </c>
      <c r="Z18" s="720" t="s">
        <v>2405</v>
      </c>
      <c r="AA18" s="720" t="s">
        <v>52</v>
      </c>
      <c r="AB18" s="720" t="s">
        <v>2396</v>
      </c>
      <c r="AC18" s="720" t="s">
        <v>2612</v>
      </c>
      <c r="AD18" s="720" t="s">
        <v>52</v>
      </c>
      <c r="AE18" s="720" t="s">
        <v>2618</v>
      </c>
      <c r="AF18" s="720" t="s">
        <v>52</v>
      </c>
      <c r="AG18" s="720" t="s">
        <v>52</v>
      </c>
      <c r="AH18" s="720" t="s">
        <v>2689</v>
      </c>
      <c r="AI18" s="782" t="s">
        <v>307</v>
      </c>
      <c r="AJ18" s="783" t="s">
        <v>850</v>
      </c>
      <c r="AK18" s="782" t="s">
        <v>307</v>
      </c>
      <c r="AL18" s="783" t="s">
        <v>850</v>
      </c>
      <c r="AM18" s="720" t="s">
        <v>2619</v>
      </c>
      <c r="AN18" s="720" t="s">
        <v>2692</v>
      </c>
      <c r="AO18" s="720" t="s">
        <v>2694</v>
      </c>
      <c r="AP18" s="720" t="s">
        <v>2626</v>
      </c>
      <c r="AQ18" s="720" t="s">
        <v>52</v>
      </c>
      <c r="AR18" s="720" t="s">
        <v>52</v>
      </c>
      <c r="AS18" s="720">
        <v>8</v>
      </c>
      <c r="AT18" s="720" t="s">
        <v>2653</v>
      </c>
      <c r="AU18" s="720">
        <v>8.0299999999999994</v>
      </c>
      <c r="AV18" s="720" t="s">
        <v>52</v>
      </c>
      <c r="AW18" s="720" t="s">
        <v>2421</v>
      </c>
      <c r="AX18" s="720">
        <v>8.75</v>
      </c>
      <c r="AY18" s="720" t="s">
        <v>2633</v>
      </c>
      <c r="AZ18" s="782" t="s">
        <v>307</v>
      </c>
      <c r="BA18" s="783" t="s">
        <v>850</v>
      </c>
      <c r="BB18" s="782" t="s">
        <v>307</v>
      </c>
      <c r="BC18" s="783" t="s">
        <v>850</v>
      </c>
      <c r="BD18" s="722" t="s">
        <v>2710</v>
      </c>
      <c r="BE18" s="720" t="s">
        <v>2638</v>
      </c>
      <c r="BF18" s="720" t="s">
        <v>2448</v>
      </c>
      <c r="BG18" s="720">
        <v>7.5</v>
      </c>
      <c r="BH18" s="720">
        <v>6.5</v>
      </c>
      <c r="BI18" s="789" t="s">
        <v>52</v>
      </c>
      <c r="BJ18" s="720" t="s">
        <v>1974</v>
      </c>
      <c r="BK18" s="720" t="s">
        <v>2645</v>
      </c>
      <c r="BL18" s="720">
        <v>2</v>
      </c>
      <c r="BM18" s="782" t="s">
        <v>307</v>
      </c>
      <c r="BN18" s="783" t="s">
        <v>850</v>
      </c>
    </row>
    <row r="19" spans="1:66" ht="11.45" customHeight="1">
      <c r="A19" s="2376" t="s">
        <v>147</v>
      </c>
      <c r="B19" s="2376"/>
      <c r="C19" s="721"/>
      <c r="D19" s="721"/>
      <c r="E19" s="721"/>
      <c r="F19" s="721"/>
      <c r="G19" s="721"/>
      <c r="H19" s="721"/>
      <c r="I19" s="721"/>
      <c r="J19" s="721"/>
      <c r="K19" s="721"/>
      <c r="L19" s="721"/>
      <c r="M19" s="721"/>
      <c r="N19" s="721"/>
      <c r="O19" s="721"/>
      <c r="P19" s="723" t="s">
        <v>132</v>
      </c>
      <c r="Q19" s="721"/>
      <c r="R19" s="723"/>
      <c r="S19" s="2376" t="s">
        <v>147</v>
      </c>
      <c r="T19" s="2376"/>
      <c r="U19" s="2376" t="s">
        <v>147</v>
      </c>
      <c r="V19" s="2376"/>
      <c r="W19" s="721"/>
      <c r="X19" s="721"/>
      <c r="Y19" s="721"/>
      <c r="Z19" s="721"/>
      <c r="AA19" s="721"/>
      <c r="AB19" s="721"/>
      <c r="AC19" s="723"/>
      <c r="AD19" s="723"/>
      <c r="AE19" s="723"/>
      <c r="AF19" s="723"/>
      <c r="AG19" s="721"/>
      <c r="AH19" s="723"/>
      <c r="AI19" s="2376" t="s">
        <v>147</v>
      </c>
      <c r="AJ19" s="2376"/>
      <c r="AK19" s="2376" t="s">
        <v>147</v>
      </c>
      <c r="AL19" s="2376"/>
      <c r="AM19" s="723"/>
      <c r="AN19" s="721"/>
      <c r="AO19" s="723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2376" t="s">
        <v>147</v>
      </c>
      <c r="BA19" s="2376"/>
      <c r="BB19" s="2376" t="s">
        <v>147</v>
      </c>
      <c r="BC19" s="2376"/>
      <c r="BD19" s="723"/>
      <c r="BE19" s="723"/>
      <c r="BF19" s="723"/>
      <c r="BG19" s="723"/>
      <c r="BH19" s="723"/>
      <c r="BI19" s="723"/>
      <c r="BJ19" s="721"/>
      <c r="BK19" s="721"/>
      <c r="BL19" s="721"/>
      <c r="BM19" s="2376" t="s">
        <v>147</v>
      </c>
      <c r="BN19" s="2376"/>
    </row>
    <row r="20" spans="1:66" ht="11.45" customHeight="1">
      <c r="A20" s="2375" t="s">
        <v>148</v>
      </c>
      <c r="B20" s="2375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720"/>
      <c r="O20" s="720"/>
      <c r="P20" s="722"/>
      <c r="Q20" s="720"/>
      <c r="R20" s="722"/>
      <c r="S20" s="2375" t="s">
        <v>148</v>
      </c>
      <c r="T20" s="2375"/>
      <c r="U20" s="2375" t="s">
        <v>148</v>
      </c>
      <c r="V20" s="2375"/>
      <c r="W20" s="789"/>
      <c r="X20" s="811"/>
      <c r="Y20" s="720"/>
      <c r="Z20" s="720"/>
      <c r="AA20" s="720"/>
      <c r="AB20" s="720"/>
      <c r="AC20" s="722"/>
      <c r="AD20" s="722"/>
      <c r="AE20" s="722"/>
      <c r="AF20" s="722"/>
      <c r="AG20" s="720"/>
      <c r="AH20" s="722"/>
      <c r="AI20" s="2375" t="s">
        <v>148</v>
      </c>
      <c r="AJ20" s="2375"/>
      <c r="AK20" s="2375" t="s">
        <v>148</v>
      </c>
      <c r="AL20" s="2375"/>
      <c r="AM20" s="722"/>
      <c r="AN20" s="720"/>
      <c r="AO20" s="722"/>
      <c r="AP20" s="720"/>
      <c r="AQ20" s="720"/>
      <c r="AR20" s="720"/>
      <c r="AS20" s="720"/>
      <c r="AT20" s="720"/>
      <c r="AU20" s="720"/>
      <c r="AV20" s="720"/>
      <c r="AW20" s="720"/>
      <c r="AX20" s="720"/>
      <c r="AY20" s="720"/>
      <c r="AZ20" s="2375" t="s">
        <v>148</v>
      </c>
      <c r="BA20" s="2375"/>
      <c r="BB20" s="2375" t="s">
        <v>148</v>
      </c>
      <c r="BC20" s="2375"/>
      <c r="BD20" s="722"/>
      <c r="BE20" s="722"/>
      <c r="BF20" s="722"/>
      <c r="BG20" s="722"/>
      <c r="BH20" s="722"/>
      <c r="BI20" s="722"/>
      <c r="BJ20" s="720"/>
      <c r="BK20" s="720"/>
      <c r="BL20" s="720"/>
      <c r="BM20" s="2375" t="s">
        <v>148</v>
      </c>
      <c r="BN20" s="2375"/>
    </row>
    <row r="21" spans="1:66" ht="11.45" customHeight="1">
      <c r="A21" s="790"/>
      <c r="B21" s="338" t="s">
        <v>149</v>
      </c>
      <c r="C21" s="721" t="s">
        <v>2716</v>
      </c>
      <c r="D21" s="721">
        <v>10.220000000000001</v>
      </c>
      <c r="E21" s="721" t="s">
        <v>2717</v>
      </c>
      <c r="F21" s="721" t="s">
        <v>2716</v>
      </c>
      <c r="G21" s="721" t="s">
        <v>2721</v>
      </c>
      <c r="H21" s="721">
        <v>10.47</v>
      </c>
      <c r="I21" s="721">
        <v>10.18</v>
      </c>
      <c r="J21" s="721">
        <v>9.93</v>
      </c>
      <c r="K21" s="721" t="s">
        <v>52</v>
      </c>
      <c r="L21" s="721" t="s">
        <v>2724</v>
      </c>
      <c r="M21" s="721">
        <v>10.47</v>
      </c>
      <c r="N21" s="721">
        <v>10.09</v>
      </c>
      <c r="O21" s="721" t="s">
        <v>2727</v>
      </c>
      <c r="P21" s="721">
        <v>10.47</v>
      </c>
      <c r="Q21" s="721">
        <v>9.6999999999999993</v>
      </c>
      <c r="R21" s="721" t="s">
        <v>2728</v>
      </c>
      <c r="S21" s="1285"/>
      <c r="T21" s="338" t="s">
        <v>149</v>
      </c>
      <c r="U21" s="728"/>
      <c r="V21" s="338" t="s">
        <v>149</v>
      </c>
      <c r="W21" s="721">
        <v>10.47</v>
      </c>
      <c r="X21" s="721" t="s">
        <v>2722</v>
      </c>
      <c r="Y21" s="721">
        <v>10.47</v>
      </c>
      <c r="Z21" s="721">
        <v>10.89</v>
      </c>
      <c r="AA21" s="721" t="s">
        <v>2734</v>
      </c>
      <c r="AB21" s="721" t="s">
        <v>2737</v>
      </c>
      <c r="AC21" s="721" t="s">
        <v>2739</v>
      </c>
      <c r="AD21" s="721">
        <v>10.47</v>
      </c>
      <c r="AE21" s="721" t="s">
        <v>2742</v>
      </c>
      <c r="AF21" s="721">
        <v>9.93</v>
      </c>
      <c r="AG21" s="721">
        <v>10.47</v>
      </c>
      <c r="AH21" s="721">
        <v>10.47</v>
      </c>
      <c r="AI21" s="728"/>
      <c r="AJ21" s="338" t="s">
        <v>149</v>
      </c>
      <c r="AK21" s="728"/>
      <c r="AL21" s="338" t="s">
        <v>149</v>
      </c>
      <c r="AM21" s="721">
        <v>10.47</v>
      </c>
      <c r="AN21" s="721">
        <v>10.47</v>
      </c>
      <c r="AO21" s="721" t="s">
        <v>2742</v>
      </c>
      <c r="AP21" s="721" t="s">
        <v>2747</v>
      </c>
      <c r="AQ21" s="721" t="s">
        <v>2738</v>
      </c>
      <c r="AR21" s="721">
        <v>9.1</v>
      </c>
      <c r="AS21" s="721">
        <v>11.18</v>
      </c>
      <c r="AT21" s="721" t="s">
        <v>2738</v>
      </c>
      <c r="AU21" s="721">
        <v>10.47</v>
      </c>
      <c r="AV21" s="721">
        <v>9.93</v>
      </c>
      <c r="AW21" s="721">
        <v>10.4</v>
      </c>
      <c r="AX21" s="721">
        <v>10.47</v>
      </c>
      <c r="AY21" s="721">
        <v>11.47</v>
      </c>
      <c r="AZ21" s="728"/>
      <c r="BA21" s="338" t="s">
        <v>149</v>
      </c>
      <c r="BB21" s="728"/>
      <c r="BC21" s="338" t="s">
        <v>149</v>
      </c>
      <c r="BD21" s="721" t="s">
        <v>2757</v>
      </c>
      <c r="BE21" s="721" t="s">
        <v>2758</v>
      </c>
      <c r="BF21" s="721" t="s">
        <v>2017</v>
      </c>
      <c r="BG21" s="721">
        <v>10.47</v>
      </c>
      <c r="BH21" s="721">
        <v>6.5</v>
      </c>
      <c r="BI21" s="721" t="s">
        <v>1261</v>
      </c>
      <c r="BJ21" s="721" t="s">
        <v>2077</v>
      </c>
      <c r="BK21" s="721">
        <v>10.47</v>
      </c>
      <c r="BL21" s="721" t="s">
        <v>2742</v>
      </c>
      <c r="BM21" s="728"/>
      <c r="BN21" s="338" t="s">
        <v>149</v>
      </c>
    </row>
    <row r="22" spans="1:66" ht="11.45" customHeight="1">
      <c r="A22" s="33"/>
      <c r="B22" s="791" t="s">
        <v>150</v>
      </c>
      <c r="C22" s="811" t="s">
        <v>52</v>
      </c>
      <c r="D22" s="720" t="s">
        <v>52</v>
      </c>
      <c r="E22" s="811" t="s">
        <v>52</v>
      </c>
      <c r="F22" s="720" t="s">
        <v>52</v>
      </c>
      <c r="G22" s="720" t="s">
        <v>52</v>
      </c>
      <c r="H22" s="720" t="s">
        <v>52</v>
      </c>
      <c r="I22" s="720" t="s">
        <v>52</v>
      </c>
      <c r="J22" s="720" t="s">
        <v>52</v>
      </c>
      <c r="K22" s="720" t="s">
        <v>52</v>
      </c>
      <c r="L22" s="720" t="s">
        <v>52</v>
      </c>
      <c r="M22" s="720" t="s">
        <v>52</v>
      </c>
      <c r="N22" s="720" t="s">
        <v>52</v>
      </c>
      <c r="O22" s="744">
        <v>10.47</v>
      </c>
      <c r="P22" s="722" t="s">
        <v>52</v>
      </c>
      <c r="Q22" s="720" t="s">
        <v>52</v>
      </c>
      <c r="R22" s="720" t="s">
        <v>52</v>
      </c>
      <c r="S22" s="1286"/>
      <c r="T22" s="791" t="s">
        <v>150</v>
      </c>
      <c r="V22" s="791" t="s">
        <v>150</v>
      </c>
      <c r="W22" s="720" t="s">
        <v>52</v>
      </c>
      <c r="X22" s="811" t="s">
        <v>52</v>
      </c>
      <c r="Y22" s="720" t="s">
        <v>52</v>
      </c>
      <c r="Z22" s="720" t="s">
        <v>52</v>
      </c>
      <c r="AA22" s="720" t="s">
        <v>52</v>
      </c>
      <c r="AB22" s="720" t="s">
        <v>2737</v>
      </c>
      <c r="AC22" s="720" t="s">
        <v>2739</v>
      </c>
      <c r="AD22" s="720" t="s">
        <v>52</v>
      </c>
      <c r="AE22" s="720" t="s">
        <v>52</v>
      </c>
      <c r="AF22" s="720">
        <v>9.93</v>
      </c>
      <c r="AG22" s="720" t="s">
        <v>52</v>
      </c>
      <c r="AH22" s="720" t="s">
        <v>52</v>
      </c>
      <c r="AJ22" s="791" t="s">
        <v>150</v>
      </c>
      <c r="AL22" s="791" t="s">
        <v>150</v>
      </c>
      <c r="AM22" s="720" t="s">
        <v>52</v>
      </c>
      <c r="AN22" s="720" t="s">
        <v>52</v>
      </c>
      <c r="AO22" s="720" t="s">
        <v>52</v>
      </c>
      <c r="AP22" s="720" t="s">
        <v>52</v>
      </c>
      <c r="AQ22" s="720" t="s">
        <v>52</v>
      </c>
      <c r="AR22" s="720" t="s">
        <v>52</v>
      </c>
      <c r="AS22" s="720" t="s">
        <v>52</v>
      </c>
      <c r="AT22" s="720" t="s">
        <v>52</v>
      </c>
      <c r="AU22" s="720" t="s">
        <v>52</v>
      </c>
      <c r="AV22" s="720" t="s">
        <v>52</v>
      </c>
      <c r="AW22" s="720" t="s">
        <v>52</v>
      </c>
      <c r="AX22" s="720" t="s">
        <v>52</v>
      </c>
      <c r="AY22" s="720" t="s">
        <v>52</v>
      </c>
      <c r="BA22" s="791" t="s">
        <v>150</v>
      </c>
      <c r="BC22" s="791" t="s">
        <v>150</v>
      </c>
      <c r="BD22" s="720" t="s">
        <v>52</v>
      </c>
      <c r="BE22" s="720" t="s">
        <v>52</v>
      </c>
      <c r="BF22" s="720" t="s">
        <v>52</v>
      </c>
      <c r="BG22" s="722" t="s">
        <v>52</v>
      </c>
      <c r="BH22" s="720" t="s">
        <v>52</v>
      </c>
      <c r="BI22" s="720" t="s">
        <v>52</v>
      </c>
      <c r="BJ22" s="720" t="s">
        <v>52</v>
      </c>
      <c r="BK22" s="792" t="s">
        <v>52</v>
      </c>
      <c r="BL22" s="720" t="s">
        <v>52</v>
      </c>
      <c r="BN22" s="791" t="s">
        <v>150</v>
      </c>
    </row>
    <row r="23" spans="1:66" ht="22.5" customHeight="1">
      <c r="A23" s="2376" t="s">
        <v>156</v>
      </c>
      <c r="B23" s="2376"/>
      <c r="C23" s="721"/>
      <c r="D23" s="721"/>
      <c r="E23" s="721"/>
      <c r="F23" s="721"/>
      <c r="G23" s="721"/>
      <c r="H23" s="721"/>
      <c r="I23" s="721"/>
      <c r="J23" s="721"/>
      <c r="K23" s="721"/>
      <c r="L23" s="721"/>
      <c r="M23" s="721"/>
      <c r="N23" s="721"/>
      <c r="O23" s="721"/>
      <c r="P23" s="723"/>
      <c r="Q23" s="721"/>
      <c r="R23" s="723"/>
      <c r="S23" s="2376" t="s">
        <v>156</v>
      </c>
      <c r="T23" s="2376"/>
      <c r="U23" s="2376" t="s">
        <v>156</v>
      </c>
      <c r="V23" s="2376"/>
      <c r="W23" s="721"/>
      <c r="X23" s="721"/>
      <c r="Y23" s="721"/>
      <c r="Z23" s="721"/>
      <c r="AA23" s="721"/>
      <c r="AB23" s="721"/>
      <c r="AC23" s="721"/>
      <c r="AD23" s="721"/>
      <c r="AE23" s="721"/>
      <c r="AF23" s="721"/>
      <c r="AG23" s="721"/>
      <c r="AH23" s="723"/>
      <c r="AI23" s="2376" t="s">
        <v>156</v>
      </c>
      <c r="AJ23" s="2376"/>
      <c r="AK23" s="2376" t="s">
        <v>156</v>
      </c>
      <c r="AL23" s="2376"/>
      <c r="AM23" s="723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2376" t="s">
        <v>156</v>
      </c>
      <c r="BA23" s="2376"/>
      <c r="BB23" s="2376" t="s">
        <v>156</v>
      </c>
      <c r="BC23" s="2376"/>
      <c r="BD23" s="723"/>
      <c r="BE23" s="721"/>
      <c r="BF23" s="721"/>
      <c r="BG23" s="723"/>
      <c r="BH23" s="721"/>
      <c r="BI23" s="721"/>
      <c r="BJ23" s="721"/>
      <c r="BK23" s="721"/>
      <c r="BL23" s="721"/>
      <c r="BM23" s="2376" t="s">
        <v>156</v>
      </c>
      <c r="BN23" s="2376"/>
    </row>
    <row r="24" spans="1:66" ht="11.45" customHeight="1">
      <c r="B24" s="791" t="s">
        <v>149</v>
      </c>
      <c r="C24" s="720">
        <v>11.22</v>
      </c>
      <c r="D24" s="744">
        <v>11.22</v>
      </c>
      <c r="E24" s="720">
        <v>11.22</v>
      </c>
      <c r="F24" s="720">
        <v>11.22</v>
      </c>
      <c r="G24" s="744" t="s">
        <v>2722</v>
      </c>
      <c r="H24" s="720">
        <v>11.47</v>
      </c>
      <c r="I24" s="720" t="s">
        <v>52</v>
      </c>
      <c r="J24" s="720">
        <v>10.93</v>
      </c>
      <c r="K24" s="720" t="s">
        <v>52</v>
      </c>
      <c r="L24" s="720" t="s">
        <v>2725</v>
      </c>
      <c r="M24" s="720">
        <v>11.47</v>
      </c>
      <c r="N24" s="720">
        <v>11.09</v>
      </c>
      <c r="O24" s="744">
        <v>11.47</v>
      </c>
      <c r="P24" s="720">
        <v>11.47</v>
      </c>
      <c r="Q24" s="811">
        <v>10.7</v>
      </c>
      <c r="R24" s="744">
        <v>11.4</v>
      </c>
      <c r="S24" s="1286"/>
      <c r="T24" s="791" t="s">
        <v>149</v>
      </c>
      <c r="V24" s="791" t="s">
        <v>149</v>
      </c>
      <c r="W24" s="720">
        <v>11.47</v>
      </c>
      <c r="X24" s="811" t="s">
        <v>2722</v>
      </c>
      <c r="Y24" s="720">
        <v>11.47</v>
      </c>
      <c r="Z24" s="720" t="s">
        <v>52</v>
      </c>
      <c r="AA24" s="720" t="s">
        <v>2735</v>
      </c>
      <c r="AB24" s="720" t="s">
        <v>2737</v>
      </c>
      <c r="AC24" s="720" t="s">
        <v>2740</v>
      </c>
      <c r="AD24" s="720">
        <v>11.47</v>
      </c>
      <c r="AE24" s="720" t="s">
        <v>2743</v>
      </c>
      <c r="AF24" s="811">
        <v>10.93</v>
      </c>
      <c r="AG24" s="720">
        <v>11.47</v>
      </c>
      <c r="AH24" s="720">
        <v>5.74</v>
      </c>
      <c r="AJ24" s="791" t="s">
        <v>149</v>
      </c>
      <c r="AL24" s="791" t="s">
        <v>149</v>
      </c>
      <c r="AM24" s="720">
        <v>11.47</v>
      </c>
      <c r="AN24" s="720">
        <v>11.47</v>
      </c>
      <c r="AO24" s="720" t="s">
        <v>2746</v>
      </c>
      <c r="AP24" s="720" t="s">
        <v>2741</v>
      </c>
      <c r="AQ24" s="720" t="s">
        <v>2737</v>
      </c>
      <c r="AR24" s="720">
        <v>10.1</v>
      </c>
      <c r="AS24" s="720" t="s">
        <v>2748</v>
      </c>
      <c r="AT24" s="720" t="s">
        <v>2737</v>
      </c>
      <c r="AU24" s="720">
        <v>11.47</v>
      </c>
      <c r="AV24" s="720">
        <v>11.47</v>
      </c>
      <c r="AW24" s="720" t="s">
        <v>2756</v>
      </c>
      <c r="AX24" s="720">
        <v>11.47</v>
      </c>
      <c r="AY24" s="720">
        <v>11.47</v>
      </c>
      <c r="BA24" s="791" t="s">
        <v>149</v>
      </c>
      <c r="BC24" s="791" t="s">
        <v>149</v>
      </c>
      <c r="BD24" s="720" t="s">
        <v>2743</v>
      </c>
      <c r="BE24" s="720" t="s">
        <v>2759</v>
      </c>
      <c r="BF24" s="720" t="s">
        <v>2017</v>
      </c>
      <c r="BG24" s="720">
        <v>11.47</v>
      </c>
      <c r="BH24" s="720" t="s">
        <v>52</v>
      </c>
      <c r="BI24" s="720" t="s">
        <v>2763</v>
      </c>
      <c r="BJ24" s="720" t="s">
        <v>2318</v>
      </c>
      <c r="BK24" s="720">
        <v>11.47</v>
      </c>
      <c r="BL24" s="720" t="s">
        <v>2765</v>
      </c>
      <c r="BN24" s="791" t="s">
        <v>149</v>
      </c>
    </row>
    <row r="25" spans="1:66" ht="11.45" customHeight="1">
      <c r="A25" s="728"/>
      <c r="B25" s="338" t="s">
        <v>150</v>
      </c>
      <c r="C25" s="721" t="s">
        <v>52</v>
      </c>
      <c r="D25" s="721" t="s">
        <v>52</v>
      </c>
      <c r="E25" s="721" t="s">
        <v>52</v>
      </c>
      <c r="F25" s="721" t="s">
        <v>52</v>
      </c>
      <c r="G25" s="721" t="s">
        <v>52</v>
      </c>
      <c r="H25" s="721" t="s">
        <v>52</v>
      </c>
      <c r="I25" s="721">
        <v>11.18</v>
      </c>
      <c r="J25" s="721" t="s">
        <v>52</v>
      </c>
      <c r="K25" s="721" t="s">
        <v>52</v>
      </c>
      <c r="L25" s="721" t="s">
        <v>52</v>
      </c>
      <c r="M25" s="721">
        <v>11.47</v>
      </c>
      <c r="N25" s="721">
        <v>11.09</v>
      </c>
      <c r="O25" s="838">
        <v>11.47</v>
      </c>
      <c r="P25" s="721" t="s">
        <v>52</v>
      </c>
      <c r="Q25" s="721">
        <v>10.7</v>
      </c>
      <c r="R25" s="723" t="s">
        <v>52</v>
      </c>
      <c r="S25" s="1285"/>
      <c r="T25" s="338" t="s">
        <v>150</v>
      </c>
      <c r="U25" s="728"/>
      <c r="V25" s="338" t="s">
        <v>150</v>
      </c>
      <c r="W25" s="721" t="s">
        <v>52</v>
      </c>
      <c r="X25" s="721" t="s">
        <v>52</v>
      </c>
      <c r="Y25" s="721" t="s">
        <v>52</v>
      </c>
      <c r="Z25" s="721">
        <v>11.89</v>
      </c>
      <c r="AA25" s="721" t="s">
        <v>52</v>
      </c>
      <c r="AB25" s="721" t="s">
        <v>2737</v>
      </c>
      <c r="AC25" s="721" t="s">
        <v>2740</v>
      </c>
      <c r="AD25" s="721">
        <v>11.47</v>
      </c>
      <c r="AE25" s="721" t="s">
        <v>2743</v>
      </c>
      <c r="AF25" s="997" t="s">
        <v>52</v>
      </c>
      <c r="AG25" s="721">
        <v>11.47</v>
      </c>
      <c r="AH25" s="793" t="s">
        <v>52</v>
      </c>
      <c r="AI25" s="728"/>
      <c r="AJ25" s="338" t="s">
        <v>150</v>
      </c>
      <c r="AK25" s="728"/>
      <c r="AL25" s="338" t="s">
        <v>150</v>
      </c>
      <c r="AM25" s="721">
        <v>11.47</v>
      </c>
      <c r="AN25" s="721" t="s">
        <v>52</v>
      </c>
      <c r="AO25" s="793" t="s">
        <v>52</v>
      </c>
      <c r="AP25" s="721" t="s">
        <v>52</v>
      </c>
      <c r="AQ25" s="721" t="s">
        <v>52</v>
      </c>
      <c r="AR25" s="721" t="s">
        <v>52</v>
      </c>
      <c r="AS25" s="721" t="s">
        <v>52</v>
      </c>
      <c r="AT25" s="721" t="s">
        <v>52</v>
      </c>
      <c r="AU25" s="721" t="s">
        <v>52</v>
      </c>
      <c r="AV25" s="721" t="s">
        <v>52</v>
      </c>
      <c r="AW25" s="721" t="s">
        <v>52</v>
      </c>
      <c r="AX25" s="721" t="s">
        <v>52</v>
      </c>
      <c r="AY25" s="721" t="s">
        <v>52</v>
      </c>
      <c r="AZ25" s="728"/>
      <c r="BA25" s="338" t="s">
        <v>150</v>
      </c>
      <c r="BB25" s="728"/>
      <c r="BC25" s="338" t="s">
        <v>150</v>
      </c>
      <c r="BD25" s="721" t="s">
        <v>52</v>
      </c>
      <c r="BE25" s="721" t="s">
        <v>2759</v>
      </c>
      <c r="BF25" s="721" t="s">
        <v>52</v>
      </c>
      <c r="BG25" s="723" t="s">
        <v>52</v>
      </c>
      <c r="BH25" s="721" t="s">
        <v>52</v>
      </c>
      <c r="BI25" s="793" t="s">
        <v>52</v>
      </c>
      <c r="BJ25" s="721" t="s">
        <v>52</v>
      </c>
      <c r="BK25" s="793" t="s">
        <v>52</v>
      </c>
      <c r="BL25" s="721" t="s">
        <v>52</v>
      </c>
      <c r="BM25" s="728"/>
      <c r="BN25" s="338" t="s">
        <v>150</v>
      </c>
    </row>
    <row r="26" spans="1:66" ht="12.75" customHeight="1">
      <c r="A26" s="2375" t="s">
        <v>28</v>
      </c>
      <c r="B26" s="2375"/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N26" s="720"/>
      <c r="O26" s="720"/>
      <c r="P26" s="720"/>
      <c r="Q26" s="722"/>
      <c r="R26" s="722"/>
      <c r="S26" s="2375" t="s">
        <v>28</v>
      </c>
      <c r="T26" s="2375"/>
      <c r="U26" s="2375" t="s">
        <v>28</v>
      </c>
      <c r="V26" s="2375"/>
      <c r="W26" s="720"/>
      <c r="X26" s="811"/>
      <c r="Y26" s="720"/>
      <c r="Z26" s="720"/>
      <c r="AA26" s="720"/>
      <c r="AB26" s="720"/>
      <c r="AC26" s="720"/>
      <c r="AD26" s="720"/>
      <c r="AE26" s="720"/>
      <c r="AF26" s="720"/>
      <c r="AG26" s="720"/>
      <c r="AH26" s="720"/>
      <c r="AI26" s="2375" t="s">
        <v>28</v>
      </c>
      <c r="AJ26" s="2375"/>
      <c r="AK26" s="2375" t="s">
        <v>28</v>
      </c>
      <c r="AL26" s="2375"/>
      <c r="AM26" s="720"/>
      <c r="AN26" s="720"/>
      <c r="AO26" s="720"/>
      <c r="AP26" s="720"/>
      <c r="AQ26" s="720"/>
      <c r="AR26" s="720"/>
      <c r="AS26" s="720"/>
      <c r="AT26" s="720"/>
      <c r="AU26" s="720"/>
      <c r="AV26" s="720"/>
      <c r="AW26" s="720"/>
      <c r="AX26" s="720"/>
      <c r="AY26" s="720"/>
      <c r="AZ26" s="2375" t="s">
        <v>28</v>
      </c>
      <c r="BA26" s="2375"/>
      <c r="BB26" s="2375" t="s">
        <v>28</v>
      </c>
      <c r="BC26" s="2375"/>
      <c r="BD26" s="720"/>
      <c r="BE26" s="720"/>
      <c r="BF26" s="720"/>
      <c r="BG26" s="722"/>
      <c r="BH26" s="720"/>
      <c r="BI26" s="720"/>
      <c r="BJ26" s="720"/>
      <c r="BK26" s="720"/>
      <c r="BL26" s="720"/>
      <c r="BM26" s="2375" t="s">
        <v>28</v>
      </c>
      <c r="BN26" s="2375"/>
    </row>
    <row r="27" spans="1:66" ht="11.45" customHeight="1">
      <c r="A27" s="728"/>
      <c r="B27" s="338" t="s">
        <v>149</v>
      </c>
      <c r="C27" s="721">
        <v>11.22</v>
      </c>
      <c r="D27" s="838">
        <v>11.22</v>
      </c>
      <c r="E27" s="721">
        <v>11.22</v>
      </c>
      <c r="F27" s="721">
        <v>11.22</v>
      </c>
      <c r="G27" s="838" t="s">
        <v>2722</v>
      </c>
      <c r="H27" s="838">
        <v>11.47</v>
      </c>
      <c r="I27" s="721" t="s">
        <v>52</v>
      </c>
      <c r="J27" s="721">
        <v>10.93</v>
      </c>
      <c r="K27" s="721" t="s">
        <v>52</v>
      </c>
      <c r="L27" s="721" t="s">
        <v>2725</v>
      </c>
      <c r="M27" s="721">
        <v>11.47</v>
      </c>
      <c r="N27" s="721">
        <v>11.09</v>
      </c>
      <c r="O27" s="838">
        <v>11.47</v>
      </c>
      <c r="P27" s="721">
        <v>11.47</v>
      </c>
      <c r="Q27" s="721">
        <v>10.7</v>
      </c>
      <c r="R27" s="838">
        <v>11.4</v>
      </c>
      <c r="S27" s="1285"/>
      <c r="T27" s="338" t="s">
        <v>149</v>
      </c>
      <c r="U27" s="728"/>
      <c r="V27" s="338" t="s">
        <v>149</v>
      </c>
      <c r="W27" s="721">
        <v>11.47</v>
      </c>
      <c r="X27" s="721" t="s">
        <v>2722</v>
      </c>
      <c r="Y27" s="721">
        <v>11.47</v>
      </c>
      <c r="Z27" s="721">
        <v>11.89</v>
      </c>
      <c r="AA27" s="721" t="s">
        <v>2735</v>
      </c>
      <c r="AB27" s="721" t="s">
        <v>2737</v>
      </c>
      <c r="AC27" s="721" t="s">
        <v>2740</v>
      </c>
      <c r="AD27" s="721">
        <v>11.47</v>
      </c>
      <c r="AE27" s="721" t="s">
        <v>2743</v>
      </c>
      <c r="AF27" s="721">
        <v>10.93</v>
      </c>
      <c r="AG27" s="721">
        <v>11.47</v>
      </c>
      <c r="AH27" s="721">
        <v>5.74</v>
      </c>
      <c r="AI27" s="728"/>
      <c r="AJ27" s="338" t="s">
        <v>149</v>
      </c>
      <c r="AK27" s="728"/>
      <c r="AL27" s="338" t="s">
        <v>149</v>
      </c>
      <c r="AM27" s="721">
        <v>11.47</v>
      </c>
      <c r="AN27" s="721">
        <v>11.47</v>
      </c>
      <c r="AO27" s="721" t="s">
        <v>2746</v>
      </c>
      <c r="AP27" s="721" t="s">
        <v>2741</v>
      </c>
      <c r="AQ27" s="721" t="s">
        <v>2737</v>
      </c>
      <c r="AR27" s="721">
        <v>10.1</v>
      </c>
      <c r="AS27" s="721" t="s">
        <v>2749</v>
      </c>
      <c r="AT27" s="721" t="s">
        <v>2737</v>
      </c>
      <c r="AU27" s="721">
        <v>11.47</v>
      </c>
      <c r="AV27" s="721">
        <v>11.47</v>
      </c>
      <c r="AW27" s="721" t="s">
        <v>52</v>
      </c>
      <c r="AX27" s="721">
        <v>11.47</v>
      </c>
      <c r="AY27" s="721">
        <v>11.47</v>
      </c>
      <c r="AZ27" s="728"/>
      <c r="BA27" s="338" t="s">
        <v>149</v>
      </c>
      <c r="BB27" s="728"/>
      <c r="BC27" s="338" t="s">
        <v>149</v>
      </c>
      <c r="BD27" s="721" t="s">
        <v>2743</v>
      </c>
      <c r="BE27" s="721" t="s">
        <v>2760</v>
      </c>
      <c r="BF27" s="721" t="s">
        <v>1261</v>
      </c>
      <c r="BG27" s="721">
        <v>11.47</v>
      </c>
      <c r="BH27" s="721">
        <v>8</v>
      </c>
      <c r="BI27" s="721" t="s">
        <v>52</v>
      </c>
      <c r="BJ27" s="721" t="s">
        <v>1396</v>
      </c>
      <c r="BK27" s="721">
        <v>11.47</v>
      </c>
      <c r="BL27" s="721" t="s">
        <v>2743</v>
      </c>
      <c r="BM27" s="728"/>
      <c r="BN27" s="338" t="s">
        <v>149</v>
      </c>
    </row>
    <row r="28" spans="1:66" ht="11.45" customHeight="1">
      <c r="B28" s="791" t="s">
        <v>150</v>
      </c>
      <c r="C28" s="720" t="s">
        <v>52</v>
      </c>
      <c r="D28" s="720" t="s">
        <v>52</v>
      </c>
      <c r="E28" s="720" t="s">
        <v>52</v>
      </c>
      <c r="F28" s="789" t="s">
        <v>52</v>
      </c>
      <c r="G28" s="720" t="s">
        <v>52</v>
      </c>
      <c r="H28" s="720" t="s">
        <v>52</v>
      </c>
      <c r="I28" s="720">
        <v>11.18</v>
      </c>
      <c r="J28" s="720" t="s">
        <v>52</v>
      </c>
      <c r="K28" s="720" t="s">
        <v>52</v>
      </c>
      <c r="L28" s="789" t="s">
        <v>52</v>
      </c>
      <c r="M28" s="720">
        <v>11.47</v>
      </c>
      <c r="N28" s="720">
        <v>11.09</v>
      </c>
      <c r="O28" s="720" t="s">
        <v>52</v>
      </c>
      <c r="P28" s="720" t="s">
        <v>52</v>
      </c>
      <c r="Q28" s="720">
        <v>10.7</v>
      </c>
      <c r="R28" s="722" t="s">
        <v>52</v>
      </c>
      <c r="S28" s="1286"/>
      <c r="T28" s="791" t="s">
        <v>150</v>
      </c>
      <c r="V28" s="791" t="s">
        <v>150</v>
      </c>
      <c r="W28" s="720" t="s">
        <v>52</v>
      </c>
      <c r="X28" s="811" t="s">
        <v>52</v>
      </c>
      <c r="Y28" s="720" t="s">
        <v>52</v>
      </c>
      <c r="Z28" s="720" t="s">
        <v>52</v>
      </c>
      <c r="AA28" s="720" t="s">
        <v>52</v>
      </c>
      <c r="AB28" s="720" t="s">
        <v>2737</v>
      </c>
      <c r="AC28" s="720" t="s">
        <v>52</v>
      </c>
      <c r="AD28" s="720" t="s">
        <v>52</v>
      </c>
      <c r="AE28" s="720" t="s">
        <v>2743</v>
      </c>
      <c r="AF28" s="720" t="s">
        <v>52</v>
      </c>
      <c r="AG28" s="720">
        <v>11.47</v>
      </c>
      <c r="AH28" s="792" t="s">
        <v>52</v>
      </c>
      <c r="AJ28" s="791" t="s">
        <v>150</v>
      </c>
      <c r="AL28" s="791" t="s">
        <v>150</v>
      </c>
      <c r="AM28" s="720">
        <v>11.47</v>
      </c>
      <c r="AN28" s="720" t="s">
        <v>52</v>
      </c>
      <c r="AO28" s="792" t="s">
        <v>52</v>
      </c>
      <c r="AP28" s="720" t="s">
        <v>52</v>
      </c>
      <c r="AQ28" s="792" t="s">
        <v>52</v>
      </c>
      <c r="AR28" s="720" t="s">
        <v>52</v>
      </c>
      <c r="AS28" s="720" t="s">
        <v>52</v>
      </c>
      <c r="AT28" s="720" t="s">
        <v>52</v>
      </c>
      <c r="AU28" s="720" t="s">
        <v>52</v>
      </c>
      <c r="AV28" s="720" t="s">
        <v>52</v>
      </c>
      <c r="AW28" s="720" t="s">
        <v>52</v>
      </c>
      <c r="AX28" s="720" t="s">
        <v>52</v>
      </c>
      <c r="AY28" s="720" t="s">
        <v>52</v>
      </c>
      <c r="BA28" s="791" t="s">
        <v>150</v>
      </c>
      <c r="BC28" s="791" t="s">
        <v>150</v>
      </c>
      <c r="BD28" s="720" t="s">
        <v>52</v>
      </c>
      <c r="BE28" s="720" t="s">
        <v>2760</v>
      </c>
      <c r="BF28" s="720" t="s">
        <v>52</v>
      </c>
      <c r="BG28" s="722" t="s">
        <v>52</v>
      </c>
      <c r="BH28" s="720" t="s">
        <v>52</v>
      </c>
      <c r="BI28" s="720" t="s">
        <v>52</v>
      </c>
      <c r="BJ28" s="720" t="s">
        <v>52</v>
      </c>
      <c r="BK28" s="792" t="s">
        <v>52</v>
      </c>
      <c r="BL28" s="720" t="s">
        <v>52</v>
      </c>
      <c r="BN28" s="791" t="s">
        <v>150</v>
      </c>
    </row>
    <row r="29" spans="1:66" ht="15" customHeight="1">
      <c r="A29" s="2407" t="s">
        <v>160</v>
      </c>
      <c r="B29" s="2407"/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3"/>
      <c r="R29" s="723"/>
      <c r="S29" s="2376" t="s">
        <v>160</v>
      </c>
      <c r="T29" s="2376"/>
      <c r="U29" s="2376" t="s">
        <v>160</v>
      </c>
      <c r="V29" s="2376"/>
      <c r="W29" s="721"/>
      <c r="X29" s="721"/>
      <c r="Y29" s="721"/>
      <c r="Z29" s="721"/>
      <c r="AA29" s="721"/>
      <c r="AB29" s="721"/>
      <c r="AC29" s="721"/>
      <c r="AD29" s="721"/>
      <c r="AE29" s="721"/>
      <c r="AF29" s="721"/>
      <c r="AG29" s="721"/>
      <c r="AH29" s="723"/>
      <c r="AI29" s="2376" t="s">
        <v>160</v>
      </c>
      <c r="AJ29" s="2376"/>
      <c r="AK29" s="2376" t="s">
        <v>160</v>
      </c>
      <c r="AL29" s="2376"/>
      <c r="AM29" s="723"/>
      <c r="AN29" s="721"/>
      <c r="AO29" s="794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2376" t="s">
        <v>160</v>
      </c>
      <c r="BA29" s="2376"/>
      <c r="BB29" s="2376" t="s">
        <v>160</v>
      </c>
      <c r="BC29" s="2376"/>
      <c r="BD29" s="721"/>
      <c r="BE29" s="721"/>
      <c r="BF29" s="721"/>
      <c r="BG29" s="723"/>
      <c r="BH29" s="721"/>
      <c r="BI29" s="721"/>
      <c r="BJ29" s="721"/>
      <c r="BK29" s="721"/>
      <c r="BL29" s="721"/>
      <c r="BM29" s="2376" t="s">
        <v>160</v>
      </c>
      <c r="BN29" s="2376"/>
    </row>
    <row r="30" spans="1:66" s="844" customFormat="1" ht="18.75" customHeight="1">
      <c r="A30" s="795" t="s">
        <v>309</v>
      </c>
      <c r="B30" s="796" t="s">
        <v>616</v>
      </c>
      <c r="C30" s="720"/>
      <c r="D30" s="720"/>
      <c r="E30" s="720"/>
      <c r="F30" s="720"/>
      <c r="G30" s="720"/>
      <c r="H30" s="720"/>
      <c r="I30" s="720"/>
      <c r="J30" s="720"/>
      <c r="K30" s="720"/>
      <c r="L30" s="789"/>
      <c r="M30" s="720"/>
      <c r="N30" s="720"/>
      <c r="O30" s="720"/>
      <c r="P30" s="811"/>
      <c r="Q30" s="722"/>
      <c r="R30" s="722"/>
      <c r="S30" s="795" t="s">
        <v>309</v>
      </c>
      <c r="T30" s="1288" t="s">
        <v>616</v>
      </c>
      <c r="U30" s="795" t="s">
        <v>309</v>
      </c>
      <c r="V30" s="797" t="s">
        <v>616</v>
      </c>
      <c r="W30" s="720"/>
      <c r="X30" s="811"/>
      <c r="Y30" s="720"/>
      <c r="Z30" s="720"/>
      <c r="AA30" s="720"/>
      <c r="AB30" s="720"/>
      <c r="AC30" s="720"/>
      <c r="AD30" s="720"/>
      <c r="AE30" s="720"/>
      <c r="AF30" s="720"/>
      <c r="AG30" s="720"/>
      <c r="AH30" s="722"/>
      <c r="AI30" s="795" t="s">
        <v>309</v>
      </c>
      <c r="AJ30" s="797" t="s">
        <v>616</v>
      </c>
      <c r="AK30" s="795" t="s">
        <v>309</v>
      </c>
      <c r="AL30" s="797" t="s">
        <v>616</v>
      </c>
      <c r="AM30" s="722"/>
      <c r="AN30" s="720"/>
      <c r="AO30" s="720"/>
      <c r="AP30" s="720"/>
      <c r="AQ30" s="720"/>
      <c r="AR30" s="720"/>
      <c r="AS30" s="720"/>
      <c r="AT30" s="720"/>
      <c r="AU30" s="720"/>
      <c r="AV30" s="720"/>
      <c r="AW30" s="720"/>
      <c r="AX30" s="720"/>
      <c r="AY30" s="720"/>
      <c r="AZ30" s="795" t="s">
        <v>309</v>
      </c>
      <c r="BA30" s="797" t="s">
        <v>616</v>
      </c>
      <c r="BB30" s="795" t="s">
        <v>309</v>
      </c>
      <c r="BC30" s="797" t="s">
        <v>616</v>
      </c>
      <c r="BD30" s="720"/>
      <c r="BE30" s="720"/>
      <c r="BF30" s="720"/>
      <c r="BG30" s="722"/>
      <c r="BH30" s="720"/>
      <c r="BI30" s="720"/>
      <c r="BJ30" s="720"/>
      <c r="BK30" s="720"/>
      <c r="BL30" s="720"/>
      <c r="BM30" s="795" t="s">
        <v>309</v>
      </c>
      <c r="BN30" s="797" t="s">
        <v>616</v>
      </c>
    </row>
    <row r="31" spans="1:66" ht="11.45" customHeight="1">
      <c r="A31" s="798"/>
      <c r="B31" s="338" t="s">
        <v>157</v>
      </c>
      <c r="C31" s="721">
        <v>11.22</v>
      </c>
      <c r="D31" s="838">
        <v>11.22</v>
      </c>
      <c r="E31" s="721">
        <v>11.22</v>
      </c>
      <c r="F31" s="721">
        <v>11.22</v>
      </c>
      <c r="G31" s="838" t="s">
        <v>2722</v>
      </c>
      <c r="H31" s="721">
        <v>11.47</v>
      </c>
      <c r="I31" s="721" t="s">
        <v>52</v>
      </c>
      <c r="J31" s="838">
        <v>10.93</v>
      </c>
      <c r="K31" s="838" t="s">
        <v>52</v>
      </c>
      <c r="L31" s="721" t="s">
        <v>2725</v>
      </c>
      <c r="M31" s="721">
        <v>11.47</v>
      </c>
      <c r="N31" s="721">
        <v>11.09</v>
      </c>
      <c r="O31" s="838">
        <v>11.47</v>
      </c>
      <c r="P31" s="721">
        <v>11.47</v>
      </c>
      <c r="Q31" s="721">
        <v>10.7</v>
      </c>
      <c r="R31" s="721">
        <v>11.4</v>
      </c>
      <c r="S31" s="1289"/>
      <c r="T31" s="338" t="s">
        <v>149</v>
      </c>
      <c r="U31" s="798"/>
      <c r="V31" s="338" t="s">
        <v>149</v>
      </c>
      <c r="W31" s="721">
        <v>11.47</v>
      </c>
      <c r="X31" s="721" t="s">
        <v>2722</v>
      </c>
      <c r="Y31" s="721">
        <v>11.47</v>
      </c>
      <c r="Z31" s="721">
        <v>11.89</v>
      </c>
      <c r="AA31" s="721" t="s">
        <v>2735</v>
      </c>
      <c r="AB31" s="721" t="s">
        <v>2737</v>
      </c>
      <c r="AC31" s="721" t="s">
        <v>2740</v>
      </c>
      <c r="AD31" s="721">
        <v>11.47</v>
      </c>
      <c r="AE31" s="721" t="s">
        <v>2743</v>
      </c>
      <c r="AF31" s="721">
        <v>10.93</v>
      </c>
      <c r="AG31" s="721">
        <v>11.47</v>
      </c>
      <c r="AH31" s="721">
        <v>5.74</v>
      </c>
      <c r="AI31" s="798"/>
      <c r="AJ31" s="338" t="s">
        <v>149</v>
      </c>
      <c r="AK31" s="798"/>
      <c r="AL31" s="338" t="s">
        <v>149</v>
      </c>
      <c r="AM31" s="721">
        <v>11.47</v>
      </c>
      <c r="AN31" s="721">
        <v>11.47</v>
      </c>
      <c r="AO31" s="721" t="s">
        <v>2746</v>
      </c>
      <c r="AP31" s="721" t="s">
        <v>2741</v>
      </c>
      <c r="AQ31" s="721" t="s">
        <v>2737</v>
      </c>
      <c r="AR31" s="721">
        <v>10.1</v>
      </c>
      <c r="AS31" s="721" t="s">
        <v>2748</v>
      </c>
      <c r="AT31" s="721" t="s">
        <v>2737</v>
      </c>
      <c r="AU31" s="721">
        <v>11.47</v>
      </c>
      <c r="AV31" s="721">
        <v>11.47</v>
      </c>
      <c r="AW31" s="721" t="s">
        <v>52</v>
      </c>
      <c r="AX31" s="721">
        <v>11.47</v>
      </c>
      <c r="AY31" s="721">
        <v>11.47</v>
      </c>
      <c r="AZ31" s="798"/>
      <c r="BA31" s="338" t="s">
        <v>149</v>
      </c>
      <c r="BB31" s="798"/>
      <c r="BC31" s="338" t="s">
        <v>149</v>
      </c>
      <c r="BD31" s="721" t="s">
        <v>2743</v>
      </c>
      <c r="BE31" s="721" t="s">
        <v>2759</v>
      </c>
      <c r="BF31" s="721" t="s">
        <v>1261</v>
      </c>
      <c r="BG31" s="721">
        <v>11.47</v>
      </c>
      <c r="BH31" s="721">
        <v>9</v>
      </c>
      <c r="BI31" s="721" t="s">
        <v>2759</v>
      </c>
      <c r="BJ31" s="721" t="s">
        <v>1395</v>
      </c>
      <c r="BK31" s="721">
        <v>11.47</v>
      </c>
      <c r="BL31" s="721" t="s">
        <v>2765</v>
      </c>
      <c r="BM31" s="798"/>
      <c r="BN31" s="338" t="s">
        <v>149</v>
      </c>
    </row>
    <row r="32" spans="1:66" ht="11.45" customHeight="1">
      <c r="A32" s="795"/>
      <c r="B32" s="791" t="s">
        <v>158</v>
      </c>
      <c r="C32" s="720" t="s">
        <v>52</v>
      </c>
      <c r="D32" s="792" t="s">
        <v>52</v>
      </c>
      <c r="E32" s="720" t="s">
        <v>52</v>
      </c>
      <c r="F32" s="720" t="s">
        <v>52</v>
      </c>
      <c r="G32" s="720" t="s">
        <v>52</v>
      </c>
      <c r="H32" s="720" t="s">
        <v>52</v>
      </c>
      <c r="I32" s="720">
        <v>11.18</v>
      </c>
      <c r="J32" s="720" t="s">
        <v>52</v>
      </c>
      <c r="K32" s="720" t="s">
        <v>52</v>
      </c>
      <c r="L32" s="720" t="s">
        <v>52</v>
      </c>
      <c r="M32" s="720">
        <v>11.47</v>
      </c>
      <c r="N32" s="720">
        <v>11.09</v>
      </c>
      <c r="O32" s="744">
        <v>11.47</v>
      </c>
      <c r="P32" s="720" t="s">
        <v>52</v>
      </c>
      <c r="Q32" s="720">
        <v>10.7</v>
      </c>
      <c r="R32" s="722" t="s">
        <v>52</v>
      </c>
      <c r="S32" s="1287"/>
      <c r="T32" s="791" t="s">
        <v>150</v>
      </c>
      <c r="U32" s="795"/>
      <c r="V32" s="791" t="s">
        <v>150</v>
      </c>
      <c r="W32" s="720" t="s">
        <v>52</v>
      </c>
      <c r="X32" s="811" t="s">
        <v>52</v>
      </c>
      <c r="Y32" s="720" t="s">
        <v>52</v>
      </c>
      <c r="Z32" s="720" t="s">
        <v>52</v>
      </c>
      <c r="AA32" s="720" t="s">
        <v>52</v>
      </c>
      <c r="AB32" s="720" t="s">
        <v>52</v>
      </c>
      <c r="AC32" s="720" t="s">
        <v>2740</v>
      </c>
      <c r="AD32" s="720" t="s">
        <v>52</v>
      </c>
      <c r="AE32" s="720" t="s">
        <v>2743</v>
      </c>
      <c r="AF32" s="720" t="s">
        <v>52</v>
      </c>
      <c r="AG32" s="720" t="s">
        <v>52</v>
      </c>
      <c r="AH32" s="792" t="s">
        <v>52</v>
      </c>
      <c r="AI32" s="795"/>
      <c r="AJ32" s="791" t="s">
        <v>150</v>
      </c>
      <c r="AK32" s="795"/>
      <c r="AL32" s="791" t="s">
        <v>150</v>
      </c>
      <c r="AM32" s="720" t="s">
        <v>52</v>
      </c>
      <c r="AN32" s="722" t="s">
        <v>52</v>
      </c>
      <c r="AO32" s="792" t="s">
        <v>52</v>
      </c>
      <c r="AP32" s="720" t="s">
        <v>52</v>
      </c>
      <c r="AQ32" s="720" t="s">
        <v>52</v>
      </c>
      <c r="AR32" s="720" t="s">
        <v>52</v>
      </c>
      <c r="AS32" s="720" t="s">
        <v>52</v>
      </c>
      <c r="AT32" s="720" t="s">
        <v>52</v>
      </c>
      <c r="AU32" s="720" t="s">
        <v>52</v>
      </c>
      <c r="AV32" s="720" t="s">
        <v>52</v>
      </c>
      <c r="AW32" s="720" t="s">
        <v>52</v>
      </c>
      <c r="AX32" s="720" t="s">
        <v>52</v>
      </c>
      <c r="AY32" s="720" t="s">
        <v>52</v>
      </c>
      <c r="AZ32" s="795"/>
      <c r="BA32" s="791" t="s">
        <v>150</v>
      </c>
      <c r="BB32" s="795"/>
      <c r="BC32" s="791" t="s">
        <v>150</v>
      </c>
      <c r="BD32" s="720" t="s">
        <v>52</v>
      </c>
      <c r="BE32" s="720" t="s">
        <v>2759</v>
      </c>
      <c r="BF32" s="720" t="s">
        <v>52</v>
      </c>
      <c r="BG32" s="722" t="s">
        <v>52</v>
      </c>
      <c r="BH32" s="720" t="s">
        <v>52</v>
      </c>
      <c r="BI32" s="720" t="s">
        <v>2759</v>
      </c>
      <c r="BJ32" s="720" t="s">
        <v>52</v>
      </c>
      <c r="BK32" s="792" t="s">
        <v>52</v>
      </c>
      <c r="BL32" s="720" t="s">
        <v>52</v>
      </c>
      <c r="BM32" s="795"/>
      <c r="BN32" s="791" t="s">
        <v>150</v>
      </c>
    </row>
    <row r="33" spans="1:66" ht="21" customHeight="1">
      <c r="A33" s="798" t="s">
        <v>488</v>
      </c>
      <c r="B33" s="1509" t="s">
        <v>617</v>
      </c>
      <c r="C33" s="721"/>
      <c r="D33" s="721"/>
      <c r="E33" s="721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721"/>
      <c r="Q33" s="723"/>
      <c r="R33" s="723"/>
      <c r="S33" s="798" t="s">
        <v>488</v>
      </c>
      <c r="T33" s="1509" t="s">
        <v>617</v>
      </c>
      <c r="U33" s="798" t="s">
        <v>488</v>
      </c>
      <c r="V33" s="1509" t="s">
        <v>617</v>
      </c>
      <c r="W33" s="721"/>
      <c r="X33" s="721"/>
      <c r="Y33" s="721"/>
      <c r="Z33" s="721"/>
      <c r="AA33" s="721"/>
      <c r="AB33" s="721"/>
      <c r="AC33" s="721"/>
      <c r="AD33" s="721"/>
      <c r="AE33" s="721"/>
      <c r="AF33" s="721"/>
      <c r="AG33" s="721"/>
      <c r="AH33" s="721"/>
      <c r="AI33" s="798" t="s">
        <v>488</v>
      </c>
      <c r="AJ33" s="1509" t="s">
        <v>617</v>
      </c>
      <c r="AK33" s="798" t="s">
        <v>488</v>
      </c>
      <c r="AL33" s="1509" t="s">
        <v>617</v>
      </c>
      <c r="AM33" s="721"/>
      <c r="AN33" s="723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98" t="s">
        <v>488</v>
      </c>
      <c r="BA33" s="1509" t="s">
        <v>617</v>
      </c>
      <c r="BB33" s="798" t="s">
        <v>488</v>
      </c>
      <c r="BC33" s="1509" t="s">
        <v>617</v>
      </c>
      <c r="BD33" s="721"/>
      <c r="BE33" s="721"/>
      <c r="BF33" s="721"/>
      <c r="BG33" s="723"/>
      <c r="BH33" s="721"/>
      <c r="BI33" s="721"/>
      <c r="BJ33" s="721"/>
      <c r="BK33" s="721"/>
      <c r="BL33" s="721"/>
      <c r="BM33" s="798" t="s">
        <v>488</v>
      </c>
      <c r="BN33" s="1509" t="s">
        <v>617</v>
      </c>
    </row>
    <row r="34" spans="1:66" ht="11.45" customHeight="1">
      <c r="B34" s="791" t="s">
        <v>157</v>
      </c>
      <c r="C34" s="811">
        <v>11.22</v>
      </c>
      <c r="D34" s="744">
        <v>11.22</v>
      </c>
      <c r="E34" s="720">
        <v>11.22</v>
      </c>
      <c r="F34" s="720">
        <v>11.22</v>
      </c>
      <c r="G34" s="744" t="s">
        <v>2722</v>
      </c>
      <c r="H34" s="720">
        <v>11.47</v>
      </c>
      <c r="I34" s="720" t="s">
        <v>52</v>
      </c>
      <c r="J34" s="744">
        <v>10.93</v>
      </c>
      <c r="K34" s="744" t="s">
        <v>52</v>
      </c>
      <c r="L34" s="720" t="s">
        <v>2725</v>
      </c>
      <c r="M34" s="720">
        <v>11.47</v>
      </c>
      <c r="N34" s="720">
        <v>11.09</v>
      </c>
      <c r="O34" s="744">
        <v>11.47</v>
      </c>
      <c r="P34" s="720">
        <v>11.47</v>
      </c>
      <c r="Q34" s="720">
        <v>10.7</v>
      </c>
      <c r="R34" s="720">
        <v>11.4</v>
      </c>
      <c r="S34" s="1286"/>
      <c r="T34" s="791" t="s">
        <v>149</v>
      </c>
      <c r="V34" s="791" t="s">
        <v>149</v>
      </c>
      <c r="W34" s="720">
        <v>11.47</v>
      </c>
      <c r="X34" s="811" t="s">
        <v>2722</v>
      </c>
      <c r="Y34" s="720">
        <v>11.47</v>
      </c>
      <c r="Z34" s="720">
        <v>11.89</v>
      </c>
      <c r="AA34" s="811" t="s">
        <v>2735</v>
      </c>
      <c r="AB34" s="720" t="s">
        <v>2737</v>
      </c>
      <c r="AC34" s="720" t="s">
        <v>2740</v>
      </c>
      <c r="AD34" s="720">
        <v>11.47</v>
      </c>
      <c r="AE34" s="720" t="s">
        <v>2743</v>
      </c>
      <c r="AF34" s="720">
        <v>10.93</v>
      </c>
      <c r="AG34" s="720">
        <v>11.47</v>
      </c>
      <c r="AH34" s="720">
        <v>5.74</v>
      </c>
      <c r="AJ34" s="791" t="s">
        <v>149</v>
      </c>
      <c r="AL34" s="791" t="s">
        <v>149</v>
      </c>
      <c r="AM34" s="720">
        <v>11.47</v>
      </c>
      <c r="AN34" s="720">
        <v>11.47</v>
      </c>
      <c r="AO34" s="720" t="s">
        <v>2746</v>
      </c>
      <c r="AP34" s="720" t="s">
        <v>2741</v>
      </c>
      <c r="AQ34" s="720" t="s">
        <v>2737</v>
      </c>
      <c r="AR34" s="720">
        <v>10.1</v>
      </c>
      <c r="AS34" s="720" t="s">
        <v>2749</v>
      </c>
      <c r="AT34" s="720" t="s">
        <v>2737</v>
      </c>
      <c r="AU34" s="720">
        <v>11.47</v>
      </c>
      <c r="AV34" s="720">
        <v>11.47</v>
      </c>
      <c r="AW34" s="720" t="s">
        <v>2754</v>
      </c>
      <c r="AX34" s="720">
        <v>11.47</v>
      </c>
      <c r="AY34" s="720">
        <v>11.47</v>
      </c>
      <c r="BA34" s="791" t="s">
        <v>149</v>
      </c>
      <c r="BC34" s="791" t="s">
        <v>149</v>
      </c>
      <c r="BD34" s="720" t="s">
        <v>2743</v>
      </c>
      <c r="BE34" s="720" t="s">
        <v>2761</v>
      </c>
      <c r="BF34" s="720" t="s">
        <v>1261</v>
      </c>
      <c r="BG34" s="720">
        <v>11.47</v>
      </c>
      <c r="BH34" s="720">
        <v>9</v>
      </c>
      <c r="BI34" s="720" t="s">
        <v>52</v>
      </c>
      <c r="BJ34" s="720" t="s">
        <v>1396</v>
      </c>
      <c r="BK34" s="720">
        <v>11.47</v>
      </c>
      <c r="BL34" s="720" t="s">
        <v>2743</v>
      </c>
      <c r="BN34" s="791" t="s">
        <v>149</v>
      </c>
    </row>
    <row r="35" spans="1:66" ht="11.45" customHeight="1">
      <c r="A35" s="728"/>
      <c r="B35" s="338" t="s">
        <v>158</v>
      </c>
      <c r="C35" s="721" t="s">
        <v>52</v>
      </c>
      <c r="D35" s="793" t="s">
        <v>52</v>
      </c>
      <c r="E35" s="721" t="s">
        <v>52</v>
      </c>
      <c r="F35" s="721" t="s">
        <v>52</v>
      </c>
      <c r="G35" s="721" t="s">
        <v>52</v>
      </c>
      <c r="H35" s="721" t="s">
        <v>52</v>
      </c>
      <c r="I35" s="721">
        <v>11.18</v>
      </c>
      <c r="J35" s="721" t="s">
        <v>52</v>
      </c>
      <c r="K35" s="721" t="s">
        <v>52</v>
      </c>
      <c r="L35" s="721" t="s">
        <v>52</v>
      </c>
      <c r="M35" s="721">
        <v>11.47</v>
      </c>
      <c r="N35" s="721">
        <v>11.09</v>
      </c>
      <c r="O35" s="721" t="s">
        <v>52</v>
      </c>
      <c r="P35" s="721" t="s">
        <v>52</v>
      </c>
      <c r="Q35" s="721">
        <v>10.7</v>
      </c>
      <c r="R35" s="721" t="s">
        <v>52</v>
      </c>
      <c r="S35" s="1285"/>
      <c r="T35" s="338" t="s">
        <v>150</v>
      </c>
      <c r="U35" s="728"/>
      <c r="V35" s="338" t="s">
        <v>150</v>
      </c>
      <c r="W35" s="721" t="s">
        <v>52</v>
      </c>
      <c r="X35" s="721" t="s">
        <v>52</v>
      </c>
      <c r="Y35" s="721" t="s">
        <v>52</v>
      </c>
      <c r="Z35" s="721" t="s">
        <v>52</v>
      </c>
      <c r="AA35" s="721" t="s">
        <v>52</v>
      </c>
      <c r="AB35" s="721" t="s">
        <v>52</v>
      </c>
      <c r="AC35" s="721" t="s">
        <v>52</v>
      </c>
      <c r="AD35" s="721" t="s">
        <v>52</v>
      </c>
      <c r="AE35" s="721" t="s">
        <v>2743</v>
      </c>
      <c r="AF35" s="721" t="s">
        <v>52</v>
      </c>
      <c r="AG35" s="721">
        <v>11.47</v>
      </c>
      <c r="AH35" s="793" t="s">
        <v>52</v>
      </c>
      <c r="AI35" s="728"/>
      <c r="AJ35" s="338" t="s">
        <v>150</v>
      </c>
      <c r="AK35" s="728"/>
      <c r="AL35" s="338" t="s">
        <v>150</v>
      </c>
      <c r="AM35" s="721" t="s">
        <v>52</v>
      </c>
      <c r="AN35" s="721" t="s">
        <v>52</v>
      </c>
      <c r="AO35" s="793" t="s">
        <v>52</v>
      </c>
      <c r="AP35" s="721" t="s">
        <v>52</v>
      </c>
      <c r="AQ35" s="721" t="s">
        <v>52</v>
      </c>
      <c r="AR35" s="721" t="s">
        <v>52</v>
      </c>
      <c r="AS35" s="721" t="s">
        <v>52</v>
      </c>
      <c r="AT35" s="721" t="s">
        <v>52</v>
      </c>
      <c r="AU35" s="721" t="s">
        <v>52</v>
      </c>
      <c r="AV35" s="721" t="s">
        <v>52</v>
      </c>
      <c r="AW35" s="721" t="s">
        <v>52</v>
      </c>
      <c r="AX35" s="721" t="s">
        <v>52</v>
      </c>
      <c r="AY35" s="721" t="s">
        <v>52</v>
      </c>
      <c r="AZ35" s="728"/>
      <c r="BA35" s="338" t="s">
        <v>150</v>
      </c>
      <c r="BB35" s="728"/>
      <c r="BC35" s="338" t="s">
        <v>150</v>
      </c>
      <c r="BD35" s="721" t="s">
        <v>52</v>
      </c>
      <c r="BE35" s="721" t="s">
        <v>2761</v>
      </c>
      <c r="BF35" s="721" t="s">
        <v>52</v>
      </c>
      <c r="BG35" s="721" t="s">
        <v>52</v>
      </c>
      <c r="BH35" s="721" t="s">
        <v>52</v>
      </c>
      <c r="BI35" s="721" t="s">
        <v>52</v>
      </c>
      <c r="BJ35" s="721" t="s">
        <v>52</v>
      </c>
      <c r="BK35" s="793" t="s">
        <v>52</v>
      </c>
      <c r="BL35" s="721" t="s">
        <v>52</v>
      </c>
      <c r="BM35" s="728"/>
      <c r="BN35" s="338" t="s">
        <v>150</v>
      </c>
    </row>
    <row r="36" spans="1:66" ht="11.45" customHeight="1">
      <c r="A36" s="2375" t="s">
        <v>88</v>
      </c>
      <c r="B36" s="2375"/>
      <c r="C36" s="720">
        <v>10.220000000000001</v>
      </c>
      <c r="D36" s="720">
        <v>10.72</v>
      </c>
      <c r="E36" s="720" t="s">
        <v>2718</v>
      </c>
      <c r="F36" s="720">
        <v>11.22</v>
      </c>
      <c r="G36" s="720" t="s">
        <v>2723</v>
      </c>
      <c r="H36" s="720">
        <v>10.47</v>
      </c>
      <c r="I36" s="720">
        <v>10.18</v>
      </c>
      <c r="J36" s="720">
        <v>10.93</v>
      </c>
      <c r="K36" s="720" t="s">
        <v>52</v>
      </c>
      <c r="L36" s="720" t="s">
        <v>2724</v>
      </c>
      <c r="M36" s="720">
        <v>10.47</v>
      </c>
      <c r="N36" s="720">
        <v>10.09</v>
      </c>
      <c r="O36" s="720">
        <v>10.47</v>
      </c>
      <c r="P36" s="720">
        <v>10.47</v>
      </c>
      <c r="Q36" s="720">
        <v>9.6999999999999993</v>
      </c>
      <c r="R36" s="720">
        <v>10.4</v>
      </c>
      <c r="S36" s="2375" t="s">
        <v>88</v>
      </c>
      <c r="T36" s="2375"/>
      <c r="U36" s="2375" t="s">
        <v>88</v>
      </c>
      <c r="V36" s="2375"/>
      <c r="W36" s="720">
        <v>10.47</v>
      </c>
      <c r="X36" s="811">
        <v>10.47</v>
      </c>
      <c r="Y36" s="720">
        <v>10.47</v>
      </c>
      <c r="Z36" s="720">
        <v>10.89</v>
      </c>
      <c r="AA36" s="720">
        <v>11.18</v>
      </c>
      <c r="AB36" s="720" t="s">
        <v>2738</v>
      </c>
      <c r="AC36" s="720" t="s">
        <v>2739</v>
      </c>
      <c r="AD36" s="720">
        <v>10.47</v>
      </c>
      <c r="AE36" s="720" t="s">
        <v>2744</v>
      </c>
      <c r="AF36" s="720">
        <v>9.93</v>
      </c>
      <c r="AG36" s="720">
        <v>10.47</v>
      </c>
      <c r="AH36" s="720">
        <v>5.24</v>
      </c>
      <c r="AI36" s="2375" t="s">
        <v>88</v>
      </c>
      <c r="AJ36" s="2375"/>
      <c r="AK36" s="2375" t="s">
        <v>88</v>
      </c>
      <c r="AL36" s="2375"/>
      <c r="AM36" s="720">
        <v>10.47</v>
      </c>
      <c r="AN36" s="720">
        <v>10.47</v>
      </c>
      <c r="AO36" s="720" t="s">
        <v>2742</v>
      </c>
      <c r="AP36" s="720">
        <v>11.47</v>
      </c>
      <c r="AQ36" s="720" t="s">
        <v>2738</v>
      </c>
      <c r="AR36" s="720" t="s">
        <v>2651</v>
      </c>
      <c r="AS36" s="720" t="s">
        <v>2750</v>
      </c>
      <c r="AT36" s="720" t="s">
        <v>2738</v>
      </c>
      <c r="AU36" s="720">
        <v>10.47</v>
      </c>
      <c r="AV36" s="720">
        <v>9.93</v>
      </c>
      <c r="AW36" s="720" t="s">
        <v>52</v>
      </c>
      <c r="AX36" s="720">
        <v>11.47</v>
      </c>
      <c r="AY36" s="720">
        <v>10.47</v>
      </c>
      <c r="AZ36" s="2375" t="s">
        <v>88</v>
      </c>
      <c r="BA36" s="2375"/>
      <c r="BB36" s="2375" t="s">
        <v>88</v>
      </c>
      <c r="BC36" s="2375"/>
      <c r="BD36" s="720" t="s">
        <v>2757</v>
      </c>
      <c r="BE36" s="720" t="s">
        <v>2429</v>
      </c>
      <c r="BF36" s="720" t="s">
        <v>2076</v>
      </c>
      <c r="BG36" s="720">
        <v>10.47</v>
      </c>
      <c r="BH36" s="720">
        <v>9</v>
      </c>
      <c r="BI36" s="720" t="s">
        <v>52</v>
      </c>
      <c r="BJ36" s="720" t="s">
        <v>1578</v>
      </c>
      <c r="BK36" s="720">
        <v>10.47</v>
      </c>
      <c r="BL36" s="720">
        <v>11.47</v>
      </c>
      <c r="BM36" s="2375" t="s">
        <v>88</v>
      </c>
      <c r="BN36" s="2375"/>
    </row>
    <row r="37" spans="1:66" ht="11.45" customHeight="1">
      <c r="A37" s="2376" t="s">
        <v>161</v>
      </c>
      <c r="B37" s="2376"/>
      <c r="C37" s="721"/>
      <c r="D37" s="721"/>
      <c r="E37" s="721"/>
      <c r="F37" s="721"/>
      <c r="G37" s="721"/>
      <c r="H37" s="721"/>
      <c r="I37" s="721"/>
      <c r="J37" s="721"/>
      <c r="K37" s="721"/>
      <c r="L37" s="721"/>
      <c r="M37" s="721"/>
      <c r="N37" s="721"/>
      <c r="O37" s="721"/>
      <c r="P37" s="721"/>
      <c r="Q37" s="723"/>
      <c r="R37" s="723"/>
      <c r="S37" s="2376" t="s">
        <v>161</v>
      </c>
      <c r="T37" s="2376"/>
      <c r="U37" s="2376" t="s">
        <v>161</v>
      </c>
      <c r="V37" s="2376"/>
      <c r="W37" s="721"/>
      <c r="X37" s="721"/>
      <c r="Y37" s="721"/>
      <c r="Z37" s="721"/>
      <c r="AA37" s="721"/>
      <c r="AB37" s="723"/>
      <c r="AC37" s="723"/>
      <c r="AD37" s="723"/>
      <c r="AE37" s="723"/>
      <c r="AF37" s="723"/>
      <c r="AG37" s="721"/>
      <c r="AH37" s="723"/>
      <c r="AI37" s="2376" t="s">
        <v>161</v>
      </c>
      <c r="AJ37" s="2376"/>
      <c r="AK37" s="2376" t="s">
        <v>161</v>
      </c>
      <c r="AL37" s="2376"/>
      <c r="AM37" s="723"/>
      <c r="AN37" s="723"/>
      <c r="AO37" s="723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2376" t="s">
        <v>161</v>
      </c>
      <c r="BA37" s="2376"/>
      <c r="BB37" s="2376" t="s">
        <v>161</v>
      </c>
      <c r="BC37" s="2376"/>
      <c r="BD37" s="721"/>
      <c r="BE37" s="721"/>
      <c r="BF37" s="721"/>
      <c r="BG37" s="723"/>
      <c r="BH37" s="721"/>
      <c r="BI37" s="721"/>
      <c r="BJ37" s="721"/>
      <c r="BK37" s="721"/>
      <c r="BL37" s="721"/>
      <c r="BM37" s="2376" t="s">
        <v>161</v>
      </c>
      <c r="BN37" s="2376"/>
    </row>
    <row r="38" spans="1:66" ht="11.45" customHeight="1">
      <c r="B38" s="791" t="s">
        <v>149</v>
      </c>
      <c r="C38" s="744">
        <v>10.11</v>
      </c>
      <c r="D38" s="720">
        <v>11.22</v>
      </c>
      <c r="E38" s="720">
        <v>11.22</v>
      </c>
      <c r="F38" s="720">
        <v>11.22</v>
      </c>
      <c r="G38" s="744" t="s">
        <v>2722</v>
      </c>
      <c r="H38" s="744">
        <v>11.47</v>
      </c>
      <c r="I38" s="720">
        <v>11.18</v>
      </c>
      <c r="J38" s="720">
        <v>4</v>
      </c>
      <c r="K38" s="720" t="s">
        <v>52</v>
      </c>
      <c r="L38" s="720" t="s">
        <v>2725</v>
      </c>
      <c r="M38" s="720">
        <v>11.47</v>
      </c>
      <c r="N38" s="720">
        <v>11.085000000000001</v>
      </c>
      <c r="O38" s="744">
        <v>11.47</v>
      </c>
      <c r="P38" s="720">
        <v>11.47</v>
      </c>
      <c r="Q38" s="720">
        <v>10.7</v>
      </c>
      <c r="R38" s="720">
        <v>11.4</v>
      </c>
      <c r="S38" s="1286"/>
      <c r="T38" s="791" t="s">
        <v>149</v>
      </c>
      <c r="V38" s="791" t="s">
        <v>149</v>
      </c>
      <c r="W38" s="720">
        <v>11.47</v>
      </c>
      <c r="X38" s="811" t="s">
        <v>2722</v>
      </c>
      <c r="Y38" s="720">
        <v>11.47</v>
      </c>
      <c r="Z38" s="720" t="s">
        <v>52</v>
      </c>
      <c r="AA38" s="720" t="s">
        <v>2736</v>
      </c>
      <c r="AB38" s="720" t="s">
        <v>2737</v>
      </c>
      <c r="AC38" s="720" t="s">
        <v>2740</v>
      </c>
      <c r="AD38" s="720">
        <v>11.47</v>
      </c>
      <c r="AE38" s="720" t="s">
        <v>2743</v>
      </c>
      <c r="AF38" s="811">
        <v>10.93</v>
      </c>
      <c r="AG38" s="720">
        <v>11.47</v>
      </c>
      <c r="AH38" s="720">
        <v>5.74</v>
      </c>
      <c r="AJ38" s="791" t="s">
        <v>149</v>
      </c>
      <c r="AL38" s="791" t="s">
        <v>149</v>
      </c>
      <c r="AM38" s="720">
        <v>11.47</v>
      </c>
      <c r="AN38" s="720">
        <v>11.47</v>
      </c>
      <c r="AO38" s="720" t="s">
        <v>2746</v>
      </c>
      <c r="AP38" s="720" t="s">
        <v>2741</v>
      </c>
      <c r="AQ38" s="720" t="s">
        <v>2737</v>
      </c>
      <c r="AR38" s="720">
        <v>10.1</v>
      </c>
      <c r="AS38" s="720" t="s">
        <v>2749</v>
      </c>
      <c r="AT38" s="720" t="s">
        <v>2737</v>
      </c>
      <c r="AU38" s="720">
        <v>11.47</v>
      </c>
      <c r="AV38" s="720">
        <v>11.47</v>
      </c>
      <c r="AW38" s="720" t="s">
        <v>52</v>
      </c>
      <c r="AX38" s="720">
        <v>11.47</v>
      </c>
      <c r="AY38" s="720">
        <v>11.47</v>
      </c>
      <c r="BA38" s="791" t="s">
        <v>149</v>
      </c>
      <c r="BC38" s="791" t="s">
        <v>149</v>
      </c>
      <c r="BD38" s="720" t="s">
        <v>2743</v>
      </c>
      <c r="BE38" s="720" t="s">
        <v>2759</v>
      </c>
      <c r="BF38" s="720" t="s">
        <v>1261</v>
      </c>
      <c r="BG38" s="720">
        <v>11.47</v>
      </c>
      <c r="BH38" s="720">
        <v>9</v>
      </c>
      <c r="BI38" s="720" t="s">
        <v>2654</v>
      </c>
      <c r="BJ38" s="720" t="s">
        <v>1395</v>
      </c>
      <c r="BK38" s="720" t="s">
        <v>52</v>
      </c>
      <c r="BL38" s="720" t="s">
        <v>2765</v>
      </c>
      <c r="BN38" s="791" t="s">
        <v>149</v>
      </c>
    </row>
    <row r="39" spans="1:66" ht="11.45" customHeight="1">
      <c r="A39" s="728"/>
      <c r="B39" s="338" t="s">
        <v>150</v>
      </c>
      <c r="C39" s="721" t="s">
        <v>52</v>
      </c>
      <c r="D39" s="721" t="s">
        <v>52</v>
      </c>
      <c r="E39" s="721" t="s">
        <v>52</v>
      </c>
      <c r="F39" s="721" t="s">
        <v>52</v>
      </c>
      <c r="G39" s="721" t="s">
        <v>52</v>
      </c>
      <c r="H39" s="721" t="s">
        <v>52</v>
      </c>
      <c r="I39" s="721" t="s">
        <v>52</v>
      </c>
      <c r="J39" s="721" t="s">
        <v>52</v>
      </c>
      <c r="K39" s="721" t="s">
        <v>52</v>
      </c>
      <c r="L39" s="721" t="s">
        <v>2725</v>
      </c>
      <c r="M39" s="721">
        <v>11.47</v>
      </c>
      <c r="N39" s="721">
        <v>11.085000000000001</v>
      </c>
      <c r="O39" s="838">
        <v>11.47</v>
      </c>
      <c r="P39" s="721" t="s">
        <v>52</v>
      </c>
      <c r="Q39" s="721">
        <v>10.7</v>
      </c>
      <c r="R39" s="723" t="s">
        <v>52</v>
      </c>
      <c r="S39" s="1285"/>
      <c r="T39" s="338" t="s">
        <v>150</v>
      </c>
      <c r="U39" s="728"/>
      <c r="V39" s="338" t="s">
        <v>150</v>
      </c>
      <c r="W39" s="721" t="s">
        <v>52</v>
      </c>
      <c r="X39" s="721" t="s">
        <v>52</v>
      </c>
      <c r="Y39" s="721" t="s">
        <v>52</v>
      </c>
      <c r="Z39" s="721">
        <v>11.89</v>
      </c>
      <c r="AA39" s="721" t="s">
        <v>52</v>
      </c>
      <c r="AB39" s="721" t="s">
        <v>2737</v>
      </c>
      <c r="AC39" s="721" t="s">
        <v>52</v>
      </c>
      <c r="AD39" s="723" t="s">
        <v>52</v>
      </c>
      <c r="AE39" s="1114" t="s">
        <v>52</v>
      </c>
      <c r="AF39" s="723" t="s">
        <v>52</v>
      </c>
      <c r="AG39" s="721">
        <v>11.47</v>
      </c>
      <c r="AH39" s="793" t="s">
        <v>52</v>
      </c>
      <c r="AI39" s="728"/>
      <c r="AJ39" s="338" t="s">
        <v>150</v>
      </c>
      <c r="AK39" s="728"/>
      <c r="AL39" s="338" t="s">
        <v>150</v>
      </c>
      <c r="AM39" s="721" t="s">
        <v>52</v>
      </c>
      <c r="AN39" s="723" t="s">
        <v>52</v>
      </c>
      <c r="AO39" s="793" t="s">
        <v>52</v>
      </c>
      <c r="AP39" s="721" t="s">
        <v>52</v>
      </c>
      <c r="AQ39" s="721" t="s">
        <v>52</v>
      </c>
      <c r="AR39" s="721">
        <v>10.1</v>
      </c>
      <c r="AS39" s="721" t="s">
        <v>52</v>
      </c>
      <c r="AT39" s="721" t="s">
        <v>52</v>
      </c>
      <c r="AU39" s="721" t="s">
        <v>52</v>
      </c>
      <c r="AV39" s="721" t="s">
        <v>52</v>
      </c>
      <c r="AW39" s="721" t="s">
        <v>52</v>
      </c>
      <c r="AX39" s="721">
        <v>11.47</v>
      </c>
      <c r="AY39" s="721" t="s">
        <v>52</v>
      </c>
      <c r="AZ39" s="728"/>
      <c r="BA39" s="338" t="s">
        <v>150</v>
      </c>
      <c r="BB39" s="728"/>
      <c r="BC39" s="338" t="s">
        <v>150</v>
      </c>
      <c r="BD39" s="721" t="s">
        <v>52</v>
      </c>
      <c r="BE39" s="721" t="s">
        <v>2759</v>
      </c>
      <c r="BF39" s="721" t="s">
        <v>52</v>
      </c>
      <c r="BG39" s="723" t="s">
        <v>52</v>
      </c>
      <c r="BH39" s="721" t="s">
        <v>52</v>
      </c>
      <c r="BI39" s="721" t="s">
        <v>2654</v>
      </c>
      <c r="BJ39" s="721" t="s">
        <v>52</v>
      </c>
      <c r="BK39" s="721" t="s">
        <v>52</v>
      </c>
      <c r="BL39" s="721" t="s">
        <v>52</v>
      </c>
      <c r="BM39" s="728"/>
      <c r="BN39" s="338" t="s">
        <v>150</v>
      </c>
    </row>
    <row r="40" spans="1:66" ht="11.45" customHeight="1">
      <c r="A40" s="2375" t="s">
        <v>162</v>
      </c>
      <c r="B40" s="2375"/>
      <c r="C40" s="720"/>
      <c r="D40" s="720"/>
      <c r="E40" s="720"/>
      <c r="F40" s="720"/>
      <c r="G40" s="720"/>
      <c r="H40" s="789"/>
      <c r="I40" s="720"/>
      <c r="J40" s="720"/>
      <c r="K40" s="720"/>
      <c r="L40" s="720"/>
      <c r="M40" s="720"/>
      <c r="N40" s="720"/>
      <c r="O40" s="720"/>
      <c r="P40" s="720"/>
      <c r="Q40" s="722"/>
      <c r="R40" s="722"/>
      <c r="S40" s="2375" t="s">
        <v>162</v>
      </c>
      <c r="T40" s="2375"/>
      <c r="U40" s="2375" t="s">
        <v>162</v>
      </c>
      <c r="V40" s="2375"/>
      <c r="W40" s="720"/>
      <c r="X40" s="811"/>
      <c r="Y40" s="720"/>
      <c r="Z40" s="720"/>
      <c r="AA40" s="720"/>
      <c r="AB40" s="722"/>
      <c r="AC40" s="722"/>
      <c r="AD40" s="722"/>
      <c r="AE40" s="722"/>
      <c r="AF40" s="722"/>
      <c r="AG40" s="722"/>
      <c r="AH40" s="720"/>
      <c r="AI40" s="2375" t="s">
        <v>162</v>
      </c>
      <c r="AJ40" s="2375"/>
      <c r="AK40" s="2375" t="s">
        <v>162</v>
      </c>
      <c r="AL40" s="2375"/>
      <c r="AM40" s="720"/>
      <c r="AN40" s="722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20"/>
      <c r="AZ40" s="2375" t="s">
        <v>162</v>
      </c>
      <c r="BA40" s="2375"/>
      <c r="BB40" s="2375" t="s">
        <v>162</v>
      </c>
      <c r="BC40" s="2375"/>
      <c r="BD40" s="720"/>
      <c r="BE40" s="720"/>
      <c r="BF40" s="720"/>
      <c r="BG40" s="722" t="s">
        <v>647</v>
      </c>
      <c r="BH40" s="720"/>
      <c r="BI40" s="720"/>
      <c r="BJ40" s="720"/>
      <c r="BK40" s="720"/>
      <c r="BL40" s="720"/>
      <c r="BM40" s="2375" t="s">
        <v>162</v>
      </c>
      <c r="BN40" s="2375"/>
    </row>
    <row r="41" spans="1:66" ht="11.45" customHeight="1">
      <c r="A41" s="728"/>
      <c r="B41" s="338" t="s">
        <v>149</v>
      </c>
      <c r="C41" s="838">
        <v>10.11</v>
      </c>
      <c r="D41" s="838">
        <v>11.22</v>
      </c>
      <c r="E41" s="721" t="s">
        <v>2719</v>
      </c>
      <c r="F41" s="721" t="s">
        <v>2720</v>
      </c>
      <c r="G41" s="838" t="s">
        <v>2722</v>
      </c>
      <c r="H41" s="721">
        <v>11.47</v>
      </c>
      <c r="I41" s="721" t="s">
        <v>52</v>
      </c>
      <c r="J41" s="721" t="s">
        <v>52</v>
      </c>
      <c r="K41" s="721" t="s">
        <v>52</v>
      </c>
      <c r="L41" s="721" t="s">
        <v>2725</v>
      </c>
      <c r="M41" s="721" t="s">
        <v>2726</v>
      </c>
      <c r="N41" s="721">
        <v>11.09</v>
      </c>
      <c r="O41" s="721">
        <v>11.47</v>
      </c>
      <c r="P41" s="721">
        <v>11.47</v>
      </c>
      <c r="Q41" s="838">
        <v>10.7</v>
      </c>
      <c r="R41" s="721" t="s">
        <v>2729</v>
      </c>
      <c r="S41" s="1285"/>
      <c r="T41" s="338" t="s">
        <v>149</v>
      </c>
      <c r="U41" s="728"/>
      <c r="V41" s="338" t="s">
        <v>149</v>
      </c>
      <c r="W41" s="721" t="s">
        <v>2731</v>
      </c>
      <c r="X41" s="721" t="s">
        <v>2722</v>
      </c>
      <c r="Y41" s="721">
        <v>11.47</v>
      </c>
      <c r="Z41" s="721">
        <v>11.89</v>
      </c>
      <c r="AA41" s="721" t="s">
        <v>2735</v>
      </c>
      <c r="AB41" s="721" t="s">
        <v>2737</v>
      </c>
      <c r="AC41" s="721" t="s">
        <v>2740</v>
      </c>
      <c r="AD41" s="721">
        <v>11.47</v>
      </c>
      <c r="AE41" s="721" t="s">
        <v>2743</v>
      </c>
      <c r="AF41" s="721">
        <v>10.93</v>
      </c>
      <c r="AG41" s="721">
        <v>11.47</v>
      </c>
      <c r="AH41" s="721">
        <v>11.47</v>
      </c>
      <c r="AI41" s="728"/>
      <c r="AJ41" s="338" t="s">
        <v>149</v>
      </c>
      <c r="AK41" s="728"/>
      <c r="AL41" s="338" t="s">
        <v>149</v>
      </c>
      <c r="AM41" s="721">
        <v>11.47</v>
      </c>
      <c r="AN41" s="721">
        <v>11.47</v>
      </c>
      <c r="AO41" s="721" t="s">
        <v>2746</v>
      </c>
      <c r="AP41" s="721" t="s">
        <v>2741</v>
      </c>
      <c r="AQ41" s="721" t="s">
        <v>2737</v>
      </c>
      <c r="AR41" s="721">
        <v>10.1</v>
      </c>
      <c r="AS41" s="721" t="s">
        <v>2751</v>
      </c>
      <c r="AT41" s="721" t="s">
        <v>2737</v>
      </c>
      <c r="AU41" s="721">
        <v>11.47</v>
      </c>
      <c r="AV41" s="721">
        <v>11.47</v>
      </c>
      <c r="AW41" s="721" t="s">
        <v>2755</v>
      </c>
      <c r="AX41" s="721">
        <v>11.47</v>
      </c>
      <c r="AY41" s="721">
        <v>11.47</v>
      </c>
      <c r="AZ41" s="728"/>
      <c r="BA41" s="338" t="s">
        <v>149</v>
      </c>
      <c r="BB41" s="728"/>
      <c r="BC41" s="338" t="s">
        <v>149</v>
      </c>
      <c r="BD41" s="721">
        <v>11.47</v>
      </c>
      <c r="BE41" s="721" t="s">
        <v>2652</v>
      </c>
      <c r="BF41" s="721" t="s">
        <v>1261</v>
      </c>
      <c r="BG41" s="788" t="s">
        <v>52</v>
      </c>
      <c r="BH41" s="721">
        <v>9</v>
      </c>
      <c r="BI41" s="721" t="s">
        <v>52</v>
      </c>
      <c r="BJ41" s="721" t="s">
        <v>2371</v>
      </c>
      <c r="BK41" s="721">
        <v>9</v>
      </c>
      <c r="BL41" s="721" t="s">
        <v>52</v>
      </c>
      <c r="BM41" s="728"/>
      <c r="BN41" s="338" t="s">
        <v>149</v>
      </c>
    </row>
    <row r="42" spans="1:66" ht="11.45" customHeight="1">
      <c r="B42" s="791" t="s">
        <v>150</v>
      </c>
      <c r="C42" s="744" t="s">
        <v>52</v>
      </c>
      <c r="D42" s="1111">
        <v>11.22</v>
      </c>
      <c r="E42" s="720" t="s">
        <v>52</v>
      </c>
      <c r="F42" s="720" t="s">
        <v>52</v>
      </c>
      <c r="G42" s="720" t="s">
        <v>52</v>
      </c>
      <c r="H42" s="789" t="s">
        <v>52</v>
      </c>
      <c r="I42" s="720" t="s">
        <v>52</v>
      </c>
      <c r="J42" s="720" t="s">
        <v>52</v>
      </c>
      <c r="K42" s="720" t="s">
        <v>52</v>
      </c>
      <c r="L42" s="720" t="s">
        <v>2725</v>
      </c>
      <c r="M42" s="720" t="s">
        <v>52</v>
      </c>
      <c r="N42" s="720" t="s">
        <v>52</v>
      </c>
      <c r="O42" s="720">
        <v>11.47</v>
      </c>
      <c r="P42" s="722" t="s">
        <v>52</v>
      </c>
      <c r="Q42" s="720" t="s">
        <v>52</v>
      </c>
      <c r="R42" s="720" t="s">
        <v>52</v>
      </c>
      <c r="S42" s="1286"/>
      <c r="T42" s="791" t="s">
        <v>150</v>
      </c>
      <c r="V42" s="791" t="s">
        <v>150</v>
      </c>
      <c r="W42" s="720" t="s">
        <v>52</v>
      </c>
      <c r="X42" s="811" t="s">
        <v>52</v>
      </c>
      <c r="Y42" s="720" t="s">
        <v>52</v>
      </c>
      <c r="Z42" s="720" t="s">
        <v>52</v>
      </c>
      <c r="AA42" s="720" t="s">
        <v>52</v>
      </c>
      <c r="AB42" s="720" t="s">
        <v>2737</v>
      </c>
      <c r="AC42" s="720" t="s">
        <v>52</v>
      </c>
      <c r="AD42" s="720" t="s">
        <v>52</v>
      </c>
      <c r="AE42" s="720" t="s">
        <v>52</v>
      </c>
      <c r="AF42" s="720" t="s">
        <v>52</v>
      </c>
      <c r="AG42" s="720">
        <v>11.47</v>
      </c>
      <c r="AH42" s="792" t="s">
        <v>52</v>
      </c>
      <c r="AJ42" s="791" t="s">
        <v>150</v>
      </c>
      <c r="AL42" s="791" t="s">
        <v>150</v>
      </c>
      <c r="AM42" s="720">
        <v>11.47</v>
      </c>
      <c r="AN42" s="720" t="s">
        <v>2745</v>
      </c>
      <c r="AO42" s="792" t="s">
        <v>52</v>
      </c>
      <c r="AP42" s="720" t="s">
        <v>52</v>
      </c>
      <c r="AQ42" s="720" t="s">
        <v>52</v>
      </c>
      <c r="AR42" s="720" t="s">
        <v>52</v>
      </c>
      <c r="AS42" s="720" t="s">
        <v>52</v>
      </c>
      <c r="AT42" s="720" t="s">
        <v>52</v>
      </c>
      <c r="AU42" s="720" t="s">
        <v>52</v>
      </c>
      <c r="AV42" s="720" t="s">
        <v>52</v>
      </c>
      <c r="AW42" s="720" t="s">
        <v>52</v>
      </c>
      <c r="AX42" s="720" t="s">
        <v>52</v>
      </c>
      <c r="AY42" s="720" t="s">
        <v>52</v>
      </c>
      <c r="BA42" s="791" t="s">
        <v>150</v>
      </c>
      <c r="BC42" s="791" t="s">
        <v>150</v>
      </c>
      <c r="BD42" s="720" t="s">
        <v>52</v>
      </c>
      <c r="BE42" s="789" t="s">
        <v>52</v>
      </c>
      <c r="BF42" s="720" t="s">
        <v>52</v>
      </c>
      <c r="BG42" s="722" t="s">
        <v>52</v>
      </c>
      <c r="BH42" s="720" t="s">
        <v>52</v>
      </c>
      <c r="BI42" s="720" t="s">
        <v>52</v>
      </c>
      <c r="BJ42" s="720" t="s">
        <v>52</v>
      </c>
      <c r="BK42" s="792" t="s">
        <v>52</v>
      </c>
      <c r="BL42" s="792"/>
      <c r="BN42" s="791" t="s">
        <v>150</v>
      </c>
    </row>
    <row r="43" spans="1:66" ht="11.45" customHeight="1">
      <c r="A43" s="2376" t="s">
        <v>163</v>
      </c>
      <c r="B43" s="2376"/>
      <c r="C43" s="721"/>
      <c r="D43" s="721"/>
      <c r="E43" s="721"/>
      <c r="F43" s="721"/>
      <c r="G43" s="721"/>
      <c r="H43" s="721"/>
      <c r="I43" s="721"/>
      <c r="J43" s="721"/>
      <c r="K43" s="721"/>
      <c r="L43" s="721"/>
      <c r="M43" s="721"/>
      <c r="N43" s="721"/>
      <c r="O43" s="721"/>
      <c r="P43" s="723"/>
      <c r="Q43" s="721"/>
      <c r="R43" s="723"/>
      <c r="S43" s="2376" t="s">
        <v>163</v>
      </c>
      <c r="T43" s="2376"/>
      <c r="U43" s="2376" t="s">
        <v>163</v>
      </c>
      <c r="V43" s="2376"/>
      <c r="W43" s="721"/>
      <c r="X43" s="721"/>
      <c r="Y43" s="721"/>
      <c r="Z43" s="721"/>
      <c r="AA43" s="721"/>
      <c r="AB43" s="721"/>
      <c r="AC43" s="721"/>
      <c r="AD43" s="721"/>
      <c r="AE43" s="721"/>
      <c r="AF43" s="721"/>
      <c r="AG43" s="721"/>
      <c r="AH43" s="721"/>
      <c r="AI43" s="2376" t="s">
        <v>163</v>
      </c>
      <c r="AJ43" s="2376"/>
      <c r="AK43" s="2376" t="s">
        <v>163</v>
      </c>
      <c r="AL43" s="2376"/>
      <c r="AM43" s="721"/>
      <c r="AN43" s="723"/>
      <c r="AO43" s="723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2376" t="s">
        <v>163</v>
      </c>
      <c r="BA43" s="2376"/>
      <c r="BB43" s="2376" t="s">
        <v>163</v>
      </c>
      <c r="BC43" s="2376"/>
      <c r="BD43" s="721"/>
      <c r="BE43" s="721"/>
      <c r="BF43" s="721"/>
      <c r="BG43" s="723"/>
      <c r="BH43" s="721"/>
      <c r="BI43" s="721"/>
      <c r="BJ43" s="721"/>
      <c r="BK43" s="721"/>
      <c r="BL43" s="721"/>
      <c r="BM43" s="2376" t="s">
        <v>163</v>
      </c>
      <c r="BN43" s="2376"/>
    </row>
    <row r="44" spans="1:66" s="13" customFormat="1" ht="11.45" customHeight="1">
      <c r="A44" s="8"/>
      <c r="B44" s="791" t="s">
        <v>149</v>
      </c>
      <c r="C44" s="720">
        <v>11.22</v>
      </c>
      <c r="D44" s="720">
        <v>11.22</v>
      </c>
      <c r="E44" s="720">
        <v>11.22</v>
      </c>
      <c r="F44" s="720">
        <v>11.22</v>
      </c>
      <c r="G44" s="744" t="s">
        <v>2722</v>
      </c>
      <c r="H44" s="792" t="s">
        <v>52</v>
      </c>
      <c r="I44" s="720">
        <v>11.18</v>
      </c>
      <c r="J44" s="720">
        <v>10.93</v>
      </c>
      <c r="K44" s="720" t="s">
        <v>52</v>
      </c>
      <c r="L44" s="720" t="s">
        <v>2725</v>
      </c>
      <c r="M44" s="744">
        <v>11.47</v>
      </c>
      <c r="N44" s="720">
        <v>11.09</v>
      </c>
      <c r="O44" s="744">
        <v>11.47</v>
      </c>
      <c r="P44" s="720">
        <v>11.47</v>
      </c>
      <c r="Q44" s="720" t="s">
        <v>2648</v>
      </c>
      <c r="R44" s="744" t="s">
        <v>2730</v>
      </c>
      <c r="S44" s="1286"/>
      <c r="T44" s="791" t="s">
        <v>149</v>
      </c>
      <c r="U44" s="8"/>
      <c r="V44" s="791" t="s">
        <v>149</v>
      </c>
      <c r="W44" s="811" t="s">
        <v>2732</v>
      </c>
      <c r="X44" s="811" t="s">
        <v>2722</v>
      </c>
      <c r="Y44" s="720" t="s">
        <v>2733</v>
      </c>
      <c r="Z44" s="720">
        <v>11.89</v>
      </c>
      <c r="AA44" s="720" t="s">
        <v>2735</v>
      </c>
      <c r="AB44" s="720" t="s">
        <v>2737</v>
      </c>
      <c r="AC44" s="720" t="s">
        <v>2740</v>
      </c>
      <c r="AD44" s="720">
        <v>11.47</v>
      </c>
      <c r="AE44" s="720" t="s">
        <v>2743</v>
      </c>
      <c r="AF44" s="811">
        <v>10.93</v>
      </c>
      <c r="AG44" s="720">
        <v>11.47</v>
      </c>
      <c r="AH44" s="720">
        <v>11.47</v>
      </c>
      <c r="AI44" s="8"/>
      <c r="AJ44" s="791" t="s">
        <v>149</v>
      </c>
      <c r="AK44" s="8"/>
      <c r="AL44" s="791" t="s">
        <v>149</v>
      </c>
      <c r="AM44" s="720">
        <v>11.47</v>
      </c>
      <c r="AN44" s="720">
        <v>11.47</v>
      </c>
      <c r="AO44" s="720" t="s">
        <v>2746</v>
      </c>
      <c r="AP44" s="720" t="s">
        <v>2741</v>
      </c>
      <c r="AQ44" s="720" t="s">
        <v>2737</v>
      </c>
      <c r="AR44" s="720">
        <v>10.1</v>
      </c>
      <c r="AS44" s="720" t="s">
        <v>2752</v>
      </c>
      <c r="AT44" s="720" t="s">
        <v>2753</v>
      </c>
      <c r="AU44" s="720" t="s">
        <v>2726</v>
      </c>
      <c r="AV44" s="720">
        <v>11.47</v>
      </c>
      <c r="AW44" s="720" t="s">
        <v>2756</v>
      </c>
      <c r="AX44" s="720">
        <v>11.47</v>
      </c>
      <c r="AY44" s="720">
        <v>12.47</v>
      </c>
      <c r="AZ44" s="8"/>
      <c r="BA44" s="791" t="s">
        <v>149</v>
      </c>
      <c r="BB44" s="8"/>
      <c r="BC44" s="791" t="s">
        <v>149</v>
      </c>
      <c r="BD44" s="720">
        <v>11.47</v>
      </c>
      <c r="BE44" s="720" t="s">
        <v>1261</v>
      </c>
      <c r="BF44" s="720" t="s">
        <v>1261</v>
      </c>
      <c r="BG44" s="720" t="s">
        <v>52</v>
      </c>
      <c r="BH44" s="720">
        <v>6.75</v>
      </c>
      <c r="BI44" s="720" t="s">
        <v>52</v>
      </c>
      <c r="BJ44" s="720" t="s">
        <v>2371</v>
      </c>
      <c r="BK44" s="720" t="s">
        <v>2764</v>
      </c>
      <c r="BL44" s="720" t="s">
        <v>52</v>
      </c>
      <c r="BM44" s="8"/>
      <c r="BN44" s="791" t="s">
        <v>149</v>
      </c>
    </row>
    <row r="45" spans="1:66" ht="11.45" customHeight="1">
      <c r="A45" s="728"/>
      <c r="B45" s="338" t="s">
        <v>150</v>
      </c>
      <c r="C45" s="721" t="s">
        <v>52</v>
      </c>
      <c r="D45" s="721" t="s">
        <v>52</v>
      </c>
      <c r="E45" s="721" t="s">
        <v>52</v>
      </c>
      <c r="F45" s="721" t="s">
        <v>52</v>
      </c>
      <c r="G45" s="721" t="s">
        <v>52</v>
      </c>
      <c r="H45" s="721">
        <v>11.47</v>
      </c>
      <c r="I45" s="721" t="s">
        <v>52</v>
      </c>
      <c r="J45" s="721" t="s">
        <v>52</v>
      </c>
      <c r="K45" s="721" t="s">
        <v>52</v>
      </c>
      <c r="L45" s="721" t="s">
        <v>2725</v>
      </c>
      <c r="M45" s="838">
        <v>11.47</v>
      </c>
      <c r="N45" s="721" t="s">
        <v>52</v>
      </c>
      <c r="O45" s="838">
        <v>11.47</v>
      </c>
      <c r="P45" s="723" t="s">
        <v>52</v>
      </c>
      <c r="Q45" s="723" t="s">
        <v>52</v>
      </c>
      <c r="R45" s="723" t="s">
        <v>52</v>
      </c>
      <c r="S45" s="1285"/>
      <c r="T45" s="338" t="s">
        <v>150</v>
      </c>
      <c r="U45" s="728"/>
      <c r="V45" s="338" t="s">
        <v>150</v>
      </c>
      <c r="W45" s="721" t="s">
        <v>52</v>
      </c>
      <c r="X45" s="721" t="s">
        <v>52</v>
      </c>
      <c r="Y45" s="721" t="s">
        <v>52</v>
      </c>
      <c r="Z45" s="721" t="s">
        <v>52</v>
      </c>
      <c r="AA45" s="721" t="s">
        <v>52</v>
      </c>
      <c r="AB45" s="721" t="s">
        <v>2737</v>
      </c>
      <c r="AC45" s="721" t="s">
        <v>52</v>
      </c>
      <c r="AD45" s="721" t="s">
        <v>52</v>
      </c>
      <c r="AE45" s="721" t="s">
        <v>52</v>
      </c>
      <c r="AF45" s="721" t="s">
        <v>52</v>
      </c>
      <c r="AG45" s="721">
        <v>11.47</v>
      </c>
      <c r="AH45" s="793" t="s">
        <v>52</v>
      </c>
      <c r="AI45" s="728"/>
      <c r="AJ45" s="338" t="s">
        <v>150</v>
      </c>
      <c r="AK45" s="728"/>
      <c r="AL45" s="338" t="s">
        <v>150</v>
      </c>
      <c r="AM45" s="721" t="s">
        <v>52</v>
      </c>
      <c r="AN45" s="721" t="s">
        <v>52</v>
      </c>
      <c r="AO45" s="793" t="s">
        <v>52</v>
      </c>
      <c r="AP45" s="721" t="s">
        <v>52</v>
      </c>
      <c r="AQ45" s="721" t="s">
        <v>52</v>
      </c>
      <c r="AR45" s="793" t="s">
        <v>52</v>
      </c>
      <c r="AS45" s="721" t="s">
        <v>52</v>
      </c>
      <c r="AT45" s="721" t="s">
        <v>52</v>
      </c>
      <c r="AU45" s="721" t="s">
        <v>52</v>
      </c>
      <c r="AV45" s="721" t="s">
        <v>52</v>
      </c>
      <c r="AW45" s="721" t="s">
        <v>52</v>
      </c>
      <c r="AX45" s="721" t="s">
        <v>52</v>
      </c>
      <c r="AY45" s="721" t="s">
        <v>52</v>
      </c>
      <c r="AZ45" s="728"/>
      <c r="BA45" s="338" t="s">
        <v>150</v>
      </c>
      <c r="BB45" s="728"/>
      <c r="BC45" s="338" t="s">
        <v>150</v>
      </c>
      <c r="BD45" s="721" t="s">
        <v>52</v>
      </c>
      <c r="BE45" s="721" t="s">
        <v>2762</v>
      </c>
      <c r="BF45" s="721" t="s">
        <v>52</v>
      </c>
      <c r="BG45" s="723" t="s">
        <v>52</v>
      </c>
      <c r="BH45" s="721" t="s">
        <v>52</v>
      </c>
      <c r="BI45" s="721" t="s">
        <v>52</v>
      </c>
      <c r="BJ45" s="721" t="s">
        <v>52</v>
      </c>
      <c r="BK45" s="793" t="s">
        <v>52</v>
      </c>
      <c r="BL45" s="721" t="s">
        <v>52</v>
      </c>
      <c r="BM45" s="728"/>
      <c r="BN45" s="338" t="s">
        <v>150</v>
      </c>
    </row>
    <row r="46" spans="1:66" ht="11.45" customHeight="1">
      <c r="A46" s="2375" t="s">
        <v>164</v>
      </c>
      <c r="B46" s="237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20"/>
      <c r="P46" s="722"/>
      <c r="Q46" s="722"/>
      <c r="R46" s="722"/>
      <c r="S46" s="2375" t="s">
        <v>164</v>
      </c>
      <c r="T46" s="2375"/>
      <c r="U46" s="2375" t="s">
        <v>164</v>
      </c>
      <c r="V46" s="2375"/>
      <c r="W46" s="720"/>
      <c r="X46" s="811"/>
      <c r="Y46" s="720"/>
      <c r="Z46" s="720"/>
      <c r="AA46" s="720"/>
      <c r="AB46" s="720"/>
      <c r="AC46" s="720"/>
      <c r="AD46" s="720"/>
      <c r="AE46" s="720"/>
      <c r="AF46" s="720"/>
      <c r="AG46" s="720"/>
      <c r="AH46" s="720"/>
      <c r="AI46" s="2375" t="s">
        <v>164</v>
      </c>
      <c r="AJ46" s="2375"/>
      <c r="AK46" s="2375" t="s">
        <v>164</v>
      </c>
      <c r="AL46" s="2375"/>
      <c r="AM46" s="720"/>
      <c r="AN46" s="720"/>
      <c r="AO46" s="720"/>
      <c r="AP46" s="720"/>
      <c r="AQ46" s="720"/>
      <c r="AR46" s="720"/>
      <c r="AS46" s="720"/>
      <c r="AT46" s="720"/>
      <c r="AU46" s="720"/>
      <c r="AV46" s="720"/>
      <c r="AW46" s="720"/>
      <c r="AX46" s="720"/>
      <c r="AY46" s="720"/>
      <c r="AZ46" s="2375" t="s">
        <v>164</v>
      </c>
      <c r="BA46" s="2375"/>
      <c r="BB46" s="2375" t="s">
        <v>164</v>
      </c>
      <c r="BC46" s="2375"/>
      <c r="BD46" s="720"/>
      <c r="BE46" s="720"/>
      <c r="BF46" s="720"/>
      <c r="BG46" s="722"/>
      <c r="BH46" s="720"/>
      <c r="BI46" s="720"/>
      <c r="BJ46" s="720"/>
      <c r="BK46" s="720"/>
      <c r="BL46" s="720"/>
      <c r="BM46" s="2375" t="s">
        <v>164</v>
      </c>
      <c r="BN46" s="2375"/>
    </row>
    <row r="47" spans="1:66" s="9" customFormat="1" ht="11.45" customHeight="1">
      <c r="A47" s="319"/>
      <c r="B47" s="338" t="s">
        <v>149</v>
      </c>
      <c r="C47" s="721" t="s">
        <v>52</v>
      </c>
      <c r="D47" s="838">
        <v>11.22</v>
      </c>
      <c r="E47" s="838">
        <v>11.22</v>
      </c>
      <c r="F47" s="721">
        <v>11.22</v>
      </c>
      <c r="G47" s="838" t="s">
        <v>2722</v>
      </c>
      <c r="H47" s="721" t="s">
        <v>52</v>
      </c>
      <c r="I47" s="721">
        <v>11.18</v>
      </c>
      <c r="J47" s="721">
        <v>10.93</v>
      </c>
      <c r="K47" s="721">
        <v>9</v>
      </c>
      <c r="L47" s="721" t="s">
        <v>2725</v>
      </c>
      <c r="M47" s="745">
        <v>11.47</v>
      </c>
      <c r="N47" s="745">
        <v>11.09</v>
      </c>
      <c r="O47" s="838">
        <v>11.47</v>
      </c>
      <c r="P47" s="721">
        <v>11.47</v>
      </c>
      <c r="Q47" s="721" t="s">
        <v>2648</v>
      </c>
      <c r="R47" s="721" t="s">
        <v>2730</v>
      </c>
      <c r="S47" s="413"/>
      <c r="T47" s="338" t="s">
        <v>149</v>
      </c>
      <c r="U47" s="319"/>
      <c r="V47" s="338" t="s">
        <v>149</v>
      </c>
      <c r="W47" s="721" t="s">
        <v>2732</v>
      </c>
      <c r="X47" s="721" t="s">
        <v>2722</v>
      </c>
      <c r="Y47" s="721" t="s">
        <v>2733</v>
      </c>
      <c r="Z47" s="721">
        <v>11.89</v>
      </c>
      <c r="AA47" s="721" t="s">
        <v>2735</v>
      </c>
      <c r="AB47" s="721">
        <v>12</v>
      </c>
      <c r="AC47" s="721" t="s">
        <v>2740</v>
      </c>
      <c r="AD47" s="721">
        <v>11.47</v>
      </c>
      <c r="AE47" s="721" t="s">
        <v>2743</v>
      </c>
      <c r="AF47" s="721">
        <v>10.93</v>
      </c>
      <c r="AG47" s="721">
        <v>11.47</v>
      </c>
      <c r="AH47" s="721">
        <v>11.47</v>
      </c>
      <c r="AI47" s="319"/>
      <c r="AJ47" s="338" t="s">
        <v>149</v>
      </c>
      <c r="AK47" s="319"/>
      <c r="AL47" s="338" t="s">
        <v>149</v>
      </c>
      <c r="AM47" s="721">
        <v>11.47</v>
      </c>
      <c r="AN47" s="721">
        <v>11.47</v>
      </c>
      <c r="AO47" s="721" t="s">
        <v>2746</v>
      </c>
      <c r="AP47" s="721" t="s">
        <v>2741</v>
      </c>
      <c r="AQ47" s="721" t="s">
        <v>2737</v>
      </c>
      <c r="AR47" s="721">
        <v>5</v>
      </c>
      <c r="AS47" s="721" t="s">
        <v>2752</v>
      </c>
      <c r="AT47" s="721" t="s">
        <v>2753</v>
      </c>
      <c r="AU47" s="721" t="s">
        <v>2726</v>
      </c>
      <c r="AV47" s="721">
        <v>11.47</v>
      </c>
      <c r="AW47" s="721" t="s">
        <v>2756</v>
      </c>
      <c r="AX47" s="721">
        <v>11.47</v>
      </c>
      <c r="AY47" s="721">
        <v>11.47</v>
      </c>
      <c r="AZ47" s="319"/>
      <c r="BA47" s="338" t="s">
        <v>149</v>
      </c>
      <c r="BB47" s="319"/>
      <c r="BC47" s="338" t="s">
        <v>149</v>
      </c>
      <c r="BD47" s="721">
        <v>11.47</v>
      </c>
      <c r="BE47" s="721" t="s">
        <v>1261</v>
      </c>
      <c r="BF47" s="721" t="s">
        <v>2017</v>
      </c>
      <c r="BG47" s="721" t="s">
        <v>52</v>
      </c>
      <c r="BH47" s="721">
        <v>6.75</v>
      </c>
      <c r="BI47" s="721" t="s">
        <v>52</v>
      </c>
      <c r="BJ47" s="721" t="s">
        <v>2371</v>
      </c>
      <c r="BK47" s="721" t="s">
        <v>2764</v>
      </c>
      <c r="BL47" s="721" t="s">
        <v>52</v>
      </c>
      <c r="BM47" s="319"/>
      <c r="BN47" s="338" t="s">
        <v>149</v>
      </c>
    </row>
    <row r="48" spans="1:66" s="261" customFormat="1" ht="11.45" customHeight="1" thickBot="1">
      <c r="A48" s="522"/>
      <c r="B48" s="779" t="s">
        <v>150</v>
      </c>
      <c r="C48" s="743">
        <v>11.22</v>
      </c>
      <c r="D48" s="1112" t="s">
        <v>52</v>
      </c>
      <c r="E48" s="743" t="s">
        <v>52</v>
      </c>
      <c r="F48" s="1113" t="s">
        <v>52</v>
      </c>
      <c r="G48" s="799" t="s">
        <v>52</v>
      </c>
      <c r="H48" s="799">
        <v>11.47</v>
      </c>
      <c r="I48" s="743" t="s">
        <v>52</v>
      </c>
      <c r="J48" s="799" t="s">
        <v>52</v>
      </c>
      <c r="K48" s="799" t="s">
        <v>1393</v>
      </c>
      <c r="L48" s="743" t="s">
        <v>2725</v>
      </c>
      <c r="M48" s="800">
        <v>11.47</v>
      </c>
      <c r="N48" s="743" t="s">
        <v>52</v>
      </c>
      <c r="O48" s="1086">
        <v>11.47</v>
      </c>
      <c r="P48" s="801" t="s">
        <v>52</v>
      </c>
      <c r="Q48" s="801" t="s">
        <v>52</v>
      </c>
      <c r="R48" s="743" t="s">
        <v>52</v>
      </c>
      <c r="S48" s="1270"/>
      <c r="T48" s="779" t="s">
        <v>150</v>
      </c>
      <c r="U48" s="522"/>
      <c r="V48" s="779" t="s">
        <v>150</v>
      </c>
      <c r="W48" s="743" t="s">
        <v>52</v>
      </c>
      <c r="X48" s="743" t="s">
        <v>52</v>
      </c>
      <c r="Y48" s="801" t="s">
        <v>52</v>
      </c>
      <c r="Z48" s="743" t="s">
        <v>52</v>
      </c>
      <c r="AA48" s="801" t="s">
        <v>52</v>
      </c>
      <c r="AB48" s="801" t="s">
        <v>52</v>
      </c>
      <c r="AC48" s="801" t="s">
        <v>52</v>
      </c>
      <c r="AD48" s="743" t="s">
        <v>52</v>
      </c>
      <c r="AE48" s="801" t="s">
        <v>52</v>
      </c>
      <c r="AF48" s="801" t="s">
        <v>52</v>
      </c>
      <c r="AG48" s="743">
        <v>11.47</v>
      </c>
      <c r="AH48" s="800" t="s">
        <v>52</v>
      </c>
      <c r="AI48" s="522"/>
      <c r="AJ48" s="779" t="s">
        <v>150</v>
      </c>
      <c r="AK48" s="522"/>
      <c r="AL48" s="779" t="s">
        <v>150</v>
      </c>
      <c r="AM48" s="743" t="s">
        <v>52</v>
      </c>
      <c r="AN48" s="801" t="s">
        <v>52</v>
      </c>
      <c r="AO48" s="801" t="s">
        <v>52</v>
      </c>
      <c r="AP48" s="801" t="s">
        <v>52</v>
      </c>
      <c r="AQ48" s="801" t="s">
        <v>52</v>
      </c>
      <c r="AR48" s="743">
        <v>10.1</v>
      </c>
      <c r="AS48" s="801" t="s">
        <v>52</v>
      </c>
      <c r="AT48" s="801" t="s">
        <v>52</v>
      </c>
      <c r="AU48" s="800" t="s">
        <v>52</v>
      </c>
      <c r="AV48" s="743" t="s">
        <v>52</v>
      </c>
      <c r="AW48" s="801" t="s">
        <v>52</v>
      </c>
      <c r="AX48" s="743" t="s">
        <v>52</v>
      </c>
      <c r="AY48" s="801" t="s">
        <v>52</v>
      </c>
      <c r="AZ48" s="522"/>
      <c r="BA48" s="779" t="s">
        <v>150</v>
      </c>
      <c r="BB48" s="522"/>
      <c r="BC48" s="779" t="s">
        <v>150</v>
      </c>
      <c r="BD48" s="743" t="s">
        <v>52</v>
      </c>
      <c r="BE48" s="743" t="s">
        <v>2762</v>
      </c>
      <c r="BF48" s="743" t="s">
        <v>52</v>
      </c>
      <c r="BG48" s="801" t="s">
        <v>52</v>
      </c>
      <c r="BH48" s="801" t="s">
        <v>52</v>
      </c>
      <c r="BI48" s="743" t="s">
        <v>52</v>
      </c>
      <c r="BJ48" s="743" t="s">
        <v>52</v>
      </c>
      <c r="BK48" s="800" t="s">
        <v>52</v>
      </c>
      <c r="BL48" s="743" t="s">
        <v>52</v>
      </c>
      <c r="BM48" s="522"/>
      <c r="BN48" s="779" t="s">
        <v>150</v>
      </c>
    </row>
    <row r="49" spans="1:66" ht="10.5" customHeight="1">
      <c r="A49" s="2377" t="s">
        <v>2663</v>
      </c>
      <c r="B49" s="2377"/>
      <c r="C49" s="2377"/>
      <c r="D49" s="2377"/>
      <c r="E49" s="2377"/>
      <c r="F49" s="2406" t="s">
        <v>2508</v>
      </c>
      <c r="G49" s="2406"/>
      <c r="H49" s="1647"/>
      <c r="I49" s="1647"/>
      <c r="J49" s="1647"/>
      <c r="K49" s="783"/>
      <c r="L49" s="1512"/>
      <c r="M49" s="1512"/>
      <c r="N49" s="1512"/>
      <c r="O49" s="1512"/>
      <c r="P49" s="1512"/>
      <c r="Q49" s="1512"/>
      <c r="R49" s="1512"/>
      <c r="S49" s="1512"/>
      <c r="T49" s="1512"/>
      <c r="U49" s="2377" t="s">
        <v>2663</v>
      </c>
      <c r="V49" s="2377"/>
      <c r="W49" s="2377"/>
      <c r="X49" s="2377"/>
      <c r="Y49" s="2377"/>
      <c r="Z49" s="802"/>
      <c r="AA49" s="803"/>
      <c r="AB49" s="803"/>
      <c r="AC49" s="803"/>
      <c r="AD49" s="803"/>
      <c r="AE49" s="803"/>
      <c r="AF49" s="803"/>
      <c r="AG49" s="803"/>
      <c r="AH49" s="803"/>
      <c r="AK49" s="2374" t="s">
        <v>2663</v>
      </c>
      <c r="AL49" s="2374"/>
      <c r="AM49" s="2374"/>
      <c r="AN49" s="2374"/>
      <c r="BB49" s="2377" t="s">
        <v>2663</v>
      </c>
      <c r="BC49" s="2377"/>
      <c r="BD49" s="2377"/>
      <c r="BE49" s="2377"/>
      <c r="BF49" s="2377"/>
    </row>
    <row r="50" spans="1:66" ht="12" customHeight="1">
      <c r="B50" s="13" t="s">
        <v>153</v>
      </c>
      <c r="F50" s="1648"/>
      <c r="G50" s="1648"/>
      <c r="H50" s="57"/>
      <c r="V50" s="13" t="s">
        <v>153</v>
      </c>
      <c r="W50" s="28"/>
      <c r="X50" s="178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153</v>
      </c>
      <c r="AM50" s="28"/>
      <c r="AN50" s="28"/>
      <c r="BC50" s="13" t="s">
        <v>153</v>
      </c>
      <c r="BD50" s="28"/>
      <c r="BE50" s="28"/>
      <c r="BF50" s="28"/>
      <c r="BN50" s="13" t="s">
        <v>647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U19:V19"/>
    <mergeCell ref="U6:V6"/>
    <mergeCell ref="W3:AH3"/>
    <mergeCell ref="AI3:AJ5"/>
    <mergeCell ref="Y2:Z2"/>
    <mergeCell ref="U1:AB1"/>
    <mergeCell ref="AC1:AG1"/>
    <mergeCell ref="U7:V7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BB13:BC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P35" sqref="P3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22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14" t="s">
        <v>2500</v>
      </c>
      <c r="B1" s="2415"/>
      <c r="C1" s="2415"/>
      <c r="D1" s="2415"/>
      <c r="E1" s="2415"/>
      <c r="F1" s="2415"/>
      <c r="G1" s="2415"/>
      <c r="H1" s="2415"/>
      <c r="I1" s="2415"/>
      <c r="L1" s="2408" t="s">
        <v>1145</v>
      </c>
      <c r="M1" s="2408"/>
    </row>
    <row r="2" spans="1:15" s="5" customFormat="1" ht="11.25" customHeight="1">
      <c r="B2" s="1148"/>
      <c r="C2" s="1148"/>
      <c r="D2" s="1148"/>
      <c r="E2" s="1148"/>
      <c r="F2" s="1148"/>
      <c r="G2" s="1104"/>
      <c r="H2" s="1567"/>
      <c r="I2" s="1567"/>
      <c r="L2" s="2409" t="s">
        <v>524</v>
      </c>
      <c r="M2" s="2409"/>
    </row>
    <row r="3" spans="1:15" s="400" customFormat="1" ht="60" customHeight="1">
      <c r="A3" s="1873" t="s">
        <v>590</v>
      </c>
      <c r="B3" s="1873"/>
      <c r="C3" s="1873"/>
      <c r="D3" s="1565" t="s">
        <v>1449</v>
      </c>
      <c r="E3" s="1565" t="s">
        <v>1385</v>
      </c>
      <c r="F3" s="1565" t="s">
        <v>96</v>
      </c>
      <c r="G3" s="1565" t="s">
        <v>1450</v>
      </c>
      <c r="H3" s="1565" t="s">
        <v>1451</v>
      </c>
      <c r="I3" s="1565" t="s">
        <v>1452</v>
      </c>
      <c r="J3" s="1565" t="s">
        <v>1453</v>
      </c>
      <c r="K3" s="1565" t="s">
        <v>1454</v>
      </c>
      <c r="L3" s="1565" t="s">
        <v>2272</v>
      </c>
      <c r="M3" s="1565" t="s">
        <v>2273</v>
      </c>
    </row>
    <row r="4" spans="1:15" s="1570" customFormat="1" ht="9.9499999999999993" customHeight="1">
      <c r="A4" s="164" t="s">
        <v>604</v>
      </c>
      <c r="B4" s="2413" t="s">
        <v>633</v>
      </c>
      <c r="C4" s="2413"/>
      <c r="D4" s="1294">
        <v>2.92</v>
      </c>
      <c r="E4" s="1294">
        <v>1.9</v>
      </c>
      <c r="F4" s="1281">
        <v>3</v>
      </c>
      <c r="G4" s="1282">
        <v>2.25</v>
      </c>
      <c r="H4" s="1294">
        <v>2.1999999999999997</v>
      </c>
      <c r="I4" s="1294">
        <v>4.87</v>
      </c>
      <c r="J4" s="1294">
        <v>2.68</v>
      </c>
      <c r="K4" s="1281">
        <v>4.1500000000000004</v>
      </c>
      <c r="L4" s="1281">
        <v>2.95</v>
      </c>
      <c r="M4" s="1281">
        <v>3</v>
      </c>
      <c r="O4" s="1278"/>
    </row>
    <row r="5" spans="1:15" s="33" customFormat="1" ht="9.9499999999999993" customHeight="1">
      <c r="A5" s="1295" t="s">
        <v>605</v>
      </c>
      <c r="B5" s="2411" t="s">
        <v>634</v>
      </c>
      <c r="C5" s="2411"/>
      <c r="D5" s="877"/>
      <c r="E5" s="877"/>
      <c r="F5" s="1296"/>
      <c r="G5" s="1296"/>
      <c r="H5" s="877"/>
      <c r="I5" s="877"/>
      <c r="J5" s="877"/>
      <c r="K5" s="1296"/>
      <c r="L5" s="1296"/>
      <c r="M5" s="1296"/>
      <c r="O5" s="1278"/>
    </row>
    <row r="6" spans="1:15" s="33" customFormat="1" ht="9.9499999999999993" customHeight="1">
      <c r="A6" s="164"/>
      <c r="B6" s="254" t="s">
        <v>635</v>
      </c>
      <c r="C6" s="69" t="s">
        <v>636</v>
      </c>
      <c r="D6" s="1294">
        <v>5.85</v>
      </c>
      <c r="E6" s="1294">
        <v>5.66</v>
      </c>
      <c r="F6" s="1281">
        <v>7.5</v>
      </c>
      <c r="G6" s="1281">
        <v>5.6</v>
      </c>
      <c r="H6" s="1294">
        <v>3.9600000000000004</v>
      </c>
      <c r="I6" s="1294">
        <v>7.31</v>
      </c>
      <c r="J6" s="1294">
        <v>4.08</v>
      </c>
      <c r="K6" s="1281">
        <v>6.09</v>
      </c>
      <c r="L6" s="1281">
        <v>6.56</v>
      </c>
      <c r="M6" s="1281" t="s">
        <v>298</v>
      </c>
      <c r="O6" s="1278"/>
    </row>
    <row r="7" spans="1:15" s="33" customFormat="1" ht="9.9499999999999993" customHeight="1">
      <c r="A7" s="1295"/>
      <c r="B7" s="1569" t="s">
        <v>637</v>
      </c>
      <c r="C7" s="1293" t="s">
        <v>638</v>
      </c>
      <c r="D7" s="877">
        <v>5.82</v>
      </c>
      <c r="E7" s="877">
        <v>5.42</v>
      </c>
      <c r="F7" s="1296">
        <v>7.5</v>
      </c>
      <c r="G7" s="1296">
        <v>5.6</v>
      </c>
      <c r="H7" s="877">
        <v>3.8699999999999997</v>
      </c>
      <c r="I7" s="877">
        <v>6.49</v>
      </c>
      <c r="J7" s="877">
        <v>4.08</v>
      </c>
      <c r="K7" s="1296">
        <v>5.98</v>
      </c>
      <c r="L7" s="1296">
        <v>6.56</v>
      </c>
      <c r="M7" s="1296" t="s">
        <v>298</v>
      </c>
      <c r="O7" s="1278"/>
    </row>
    <row r="8" spans="1:15" s="33" customFormat="1" ht="9.9499999999999993" customHeight="1">
      <c r="A8" s="164"/>
      <c r="B8" s="254" t="s">
        <v>639</v>
      </c>
      <c r="C8" s="69" t="s">
        <v>79</v>
      </c>
      <c r="D8" s="1294">
        <v>5.8</v>
      </c>
      <c r="E8" s="1294">
        <v>4.93</v>
      </c>
      <c r="F8" s="1281">
        <v>7.5</v>
      </c>
      <c r="G8" s="1281">
        <v>5.6</v>
      </c>
      <c r="H8" s="1294">
        <v>3.34</v>
      </c>
      <c r="I8" s="1294">
        <v>6.68</v>
      </c>
      <c r="J8" s="1294">
        <v>4.08</v>
      </c>
      <c r="K8" s="1281">
        <v>5.89</v>
      </c>
      <c r="L8" s="1281">
        <v>6.24</v>
      </c>
      <c r="M8" s="1281">
        <v>6</v>
      </c>
      <c r="O8" s="1278"/>
    </row>
    <row r="9" spans="1:15" s="33" customFormat="1" ht="9.9499999999999993" customHeight="1">
      <c r="A9" s="1295"/>
      <c r="B9" s="1569" t="s">
        <v>640</v>
      </c>
      <c r="C9" s="1293" t="s">
        <v>641</v>
      </c>
      <c r="D9" s="877">
        <v>5.77</v>
      </c>
      <c r="E9" s="877">
        <v>4.68</v>
      </c>
      <c r="F9" s="1296">
        <v>7.25</v>
      </c>
      <c r="G9" s="1296">
        <v>5.6</v>
      </c>
      <c r="H9" s="877">
        <v>3.16</v>
      </c>
      <c r="I9" s="877">
        <v>6.8599999999999994</v>
      </c>
      <c r="J9" s="877">
        <v>3.91</v>
      </c>
      <c r="K9" s="1296">
        <v>5.6</v>
      </c>
      <c r="L9" s="1296">
        <v>5.25</v>
      </c>
      <c r="M9" s="1296">
        <v>6</v>
      </c>
      <c r="O9" s="1278"/>
    </row>
    <row r="10" spans="1:15" s="33" customFormat="1" ht="9.9499999999999993" customHeight="1">
      <c r="A10" s="164"/>
      <c r="B10" s="254" t="s">
        <v>642</v>
      </c>
      <c r="C10" s="69" t="s">
        <v>643</v>
      </c>
      <c r="D10" s="1294">
        <v>5.76</v>
      </c>
      <c r="E10" s="1294">
        <v>4.43</v>
      </c>
      <c r="F10" s="1281">
        <v>7</v>
      </c>
      <c r="G10" s="1281">
        <v>5.6</v>
      </c>
      <c r="H10" s="1294">
        <v>3.08</v>
      </c>
      <c r="I10" s="1294">
        <v>5.72</v>
      </c>
      <c r="J10" s="1294">
        <v>3.74</v>
      </c>
      <c r="K10" s="1281">
        <v>5.38</v>
      </c>
      <c r="L10" s="1281">
        <v>4.92</v>
      </c>
      <c r="M10" s="1281">
        <v>6</v>
      </c>
      <c r="O10" s="1278"/>
    </row>
    <row r="11" spans="1:15" s="33" customFormat="1" ht="9.9499999999999993" customHeight="1">
      <c r="A11" s="1295"/>
      <c r="B11" s="1569" t="s">
        <v>308</v>
      </c>
      <c r="C11" s="1293" t="s">
        <v>78</v>
      </c>
      <c r="D11" s="877">
        <v>3.87</v>
      </c>
      <c r="E11" s="877">
        <v>2.46</v>
      </c>
      <c r="F11" s="1296">
        <v>3</v>
      </c>
      <c r="G11" s="1296">
        <v>5.6</v>
      </c>
      <c r="H11" s="877">
        <v>1.32</v>
      </c>
      <c r="I11" s="877">
        <v>5.65</v>
      </c>
      <c r="J11" s="877">
        <v>3.53</v>
      </c>
      <c r="K11" s="1296">
        <v>5.05</v>
      </c>
      <c r="L11" s="1296">
        <v>3</v>
      </c>
      <c r="M11" s="1296">
        <v>3.5000000000000004</v>
      </c>
      <c r="O11" s="1278"/>
    </row>
    <row r="12" spans="1:15" s="165" customFormat="1" ht="10.5" customHeight="1">
      <c r="A12" s="164" t="s">
        <v>606</v>
      </c>
      <c r="B12" s="2413" t="s">
        <v>644</v>
      </c>
      <c r="C12" s="2413"/>
      <c r="D12" s="1279"/>
      <c r="E12" s="1280"/>
      <c r="F12" s="1281"/>
      <c r="G12" s="1281"/>
      <c r="H12" s="1280"/>
      <c r="I12" s="1280"/>
      <c r="J12" s="1280"/>
      <c r="K12" s="1281"/>
      <c r="L12" s="1281"/>
      <c r="M12" s="1282"/>
      <c r="O12" s="1278"/>
    </row>
    <row r="13" spans="1:15" s="33" customFormat="1" ht="9.9499999999999993" customHeight="1">
      <c r="A13" s="1297"/>
      <c r="B13" s="1569" t="s">
        <v>635</v>
      </c>
      <c r="C13" s="1569" t="s">
        <v>645</v>
      </c>
      <c r="D13" s="877" t="s">
        <v>298</v>
      </c>
      <c r="E13" s="877">
        <v>5.66</v>
      </c>
      <c r="F13" s="1296" t="s">
        <v>298</v>
      </c>
      <c r="G13" s="1296">
        <v>5.6</v>
      </c>
      <c r="H13" s="877" t="s">
        <v>298</v>
      </c>
      <c r="I13" s="877">
        <v>8.19</v>
      </c>
      <c r="J13" s="1296" t="s">
        <v>298</v>
      </c>
      <c r="K13" s="1296" t="s">
        <v>298</v>
      </c>
      <c r="L13" s="1296">
        <v>3.02</v>
      </c>
      <c r="M13" s="1296" t="s">
        <v>298</v>
      </c>
      <c r="O13" s="1278"/>
    </row>
    <row r="14" spans="1:15" s="33" customFormat="1" ht="9.9499999999999993" customHeight="1">
      <c r="A14" s="1298"/>
      <c r="B14" s="254" t="s">
        <v>637</v>
      </c>
      <c r="C14" s="254" t="s">
        <v>646</v>
      </c>
      <c r="D14" s="1294" t="s">
        <v>298</v>
      </c>
      <c r="E14" s="1294">
        <v>5.66</v>
      </c>
      <c r="F14" s="1281" t="s">
        <v>298</v>
      </c>
      <c r="G14" s="1281" t="s">
        <v>298</v>
      </c>
      <c r="H14" s="1294" t="s">
        <v>298</v>
      </c>
      <c r="I14" s="1294" t="s">
        <v>298</v>
      </c>
      <c r="J14" s="1294" t="s">
        <v>298</v>
      </c>
      <c r="K14" s="1281" t="s">
        <v>298</v>
      </c>
      <c r="L14" s="1281">
        <v>3.5</v>
      </c>
      <c r="M14" s="1281" t="s">
        <v>298</v>
      </c>
      <c r="O14" s="1278"/>
    </row>
    <row r="15" spans="1:15" s="33" customFormat="1" ht="9.9499999999999993" customHeight="1">
      <c r="A15" s="1297"/>
      <c r="B15" s="1569" t="s">
        <v>639</v>
      </c>
      <c r="C15" s="1569" t="s">
        <v>242</v>
      </c>
      <c r="D15" s="877" t="s">
        <v>298</v>
      </c>
      <c r="E15" s="877">
        <v>5.66</v>
      </c>
      <c r="F15" s="1296" t="s">
        <v>298</v>
      </c>
      <c r="G15" s="1296" t="s">
        <v>298</v>
      </c>
      <c r="H15" s="877" t="s">
        <v>298</v>
      </c>
      <c r="I15" s="877" t="s">
        <v>298</v>
      </c>
      <c r="J15" s="1296">
        <v>5.27</v>
      </c>
      <c r="K15" s="1296">
        <v>3.43</v>
      </c>
      <c r="L15" s="1296">
        <v>5</v>
      </c>
      <c r="M15" s="1296" t="s">
        <v>298</v>
      </c>
      <c r="O15" s="1278"/>
    </row>
    <row r="16" spans="1:15" s="33" customFormat="1" ht="9.9499999999999993" customHeight="1">
      <c r="A16" s="366"/>
      <c r="B16" s="2359" t="s">
        <v>935</v>
      </c>
      <c r="C16" s="2359"/>
      <c r="D16" s="670"/>
      <c r="E16" s="1282"/>
      <c r="F16" s="1282"/>
      <c r="G16" s="1282"/>
      <c r="H16" s="670"/>
      <c r="I16" s="670"/>
      <c r="J16" s="1282"/>
      <c r="K16" s="1282"/>
      <c r="L16" s="1282"/>
      <c r="M16" s="1282"/>
      <c r="O16" s="1278"/>
    </row>
    <row r="17" spans="1:15" s="33" customFormat="1" ht="9.9499999999999993" customHeight="1">
      <c r="A17" s="1297"/>
      <c r="B17" s="340" t="s">
        <v>309</v>
      </c>
      <c r="C17" s="1569" t="s">
        <v>636</v>
      </c>
      <c r="D17" s="877" t="s">
        <v>298</v>
      </c>
      <c r="E17" s="877">
        <v>5.66</v>
      </c>
      <c r="F17" s="1296" t="s">
        <v>298</v>
      </c>
      <c r="G17" s="1296" t="s">
        <v>298</v>
      </c>
      <c r="H17" s="877" t="s">
        <v>298</v>
      </c>
      <c r="I17" s="877" t="s">
        <v>298</v>
      </c>
      <c r="J17" s="1296" t="s">
        <v>298</v>
      </c>
      <c r="K17" s="1296" t="s">
        <v>298</v>
      </c>
      <c r="L17" s="1296" t="s">
        <v>298</v>
      </c>
      <c r="M17" s="1296">
        <v>7.5</v>
      </c>
      <c r="O17" s="1278"/>
    </row>
    <row r="18" spans="1:15" s="33" customFormat="1" ht="9.9499999999999993" customHeight="1">
      <c r="A18" s="1298"/>
      <c r="B18" s="638" t="s">
        <v>488</v>
      </c>
      <c r="C18" s="254" t="s">
        <v>98</v>
      </c>
      <c r="D18" s="1294">
        <v>5.28</v>
      </c>
      <c r="E18" s="1294">
        <v>5.66</v>
      </c>
      <c r="F18" s="1281" t="s">
        <v>298</v>
      </c>
      <c r="G18" s="1281" t="s">
        <v>298</v>
      </c>
      <c r="H18" s="1294" t="s">
        <v>298</v>
      </c>
      <c r="I18" s="1294" t="s">
        <v>298</v>
      </c>
      <c r="J18" s="1282" t="s">
        <v>298</v>
      </c>
      <c r="K18" s="1281" t="s">
        <v>298</v>
      </c>
      <c r="L18" s="1281" t="s">
        <v>298</v>
      </c>
      <c r="M18" s="1281">
        <v>7.5</v>
      </c>
      <c r="O18" s="1278"/>
    </row>
    <row r="19" spans="1:15" s="33" customFormat="1" ht="9.9499999999999993" customHeight="1">
      <c r="A19" s="1297"/>
      <c r="B19" s="340" t="s">
        <v>301</v>
      </c>
      <c r="C19" s="1569" t="s">
        <v>99</v>
      </c>
      <c r="D19" s="877">
        <v>5.89</v>
      </c>
      <c r="E19" s="877">
        <v>5.66</v>
      </c>
      <c r="F19" s="1296" t="s">
        <v>298</v>
      </c>
      <c r="G19" s="1296" t="s">
        <v>298</v>
      </c>
      <c r="H19" s="877" t="s">
        <v>298</v>
      </c>
      <c r="I19" s="877" t="s">
        <v>298</v>
      </c>
      <c r="J19" s="1296" t="s">
        <v>298</v>
      </c>
      <c r="K19" s="1296" t="s">
        <v>298</v>
      </c>
      <c r="L19" s="1296" t="s">
        <v>298</v>
      </c>
      <c r="M19" s="1296" t="s">
        <v>298</v>
      </c>
      <c r="O19" s="1278"/>
    </row>
    <row r="20" spans="1:15" s="33" customFormat="1" ht="9.9499999999999993" customHeight="1">
      <c r="A20" s="1298"/>
      <c r="B20" s="69" t="s">
        <v>372</v>
      </c>
      <c r="C20" s="69" t="s">
        <v>373</v>
      </c>
      <c r="D20" s="1281"/>
      <c r="E20" s="1281"/>
      <c r="F20" s="1281"/>
      <c r="G20" s="1281"/>
      <c r="H20" s="1299"/>
      <c r="I20" s="1299"/>
      <c r="J20" s="1282"/>
      <c r="K20" s="1281"/>
      <c r="L20" s="1281"/>
      <c r="M20" s="1281"/>
      <c r="O20" s="1278"/>
    </row>
    <row r="21" spans="1:15" s="33" customFormat="1" ht="9.9499999999999993" customHeight="1">
      <c r="A21" s="1297"/>
      <c r="B21" s="340" t="s">
        <v>309</v>
      </c>
      <c r="C21" s="1569" t="s">
        <v>100</v>
      </c>
      <c r="D21" s="1296" t="s">
        <v>298</v>
      </c>
      <c r="E21" s="877">
        <v>5.66</v>
      </c>
      <c r="F21" s="1296">
        <v>8</v>
      </c>
      <c r="G21" s="1296" t="s">
        <v>298</v>
      </c>
      <c r="H21" s="877">
        <v>5.45</v>
      </c>
      <c r="I21" s="877">
        <v>10.92</v>
      </c>
      <c r="J21" s="877" t="s">
        <v>298</v>
      </c>
      <c r="K21" s="1296">
        <v>6.77</v>
      </c>
      <c r="L21" s="1296">
        <v>7.22</v>
      </c>
      <c r="M21" s="1296">
        <v>8.18</v>
      </c>
      <c r="O21" s="1278"/>
    </row>
    <row r="22" spans="1:15" s="33" customFormat="1" ht="9.9499999999999993" customHeight="1">
      <c r="A22" s="1298"/>
      <c r="B22" s="638" t="s">
        <v>488</v>
      </c>
      <c r="C22" s="254" t="s">
        <v>101</v>
      </c>
      <c r="D22" s="1281" t="s">
        <v>298</v>
      </c>
      <c r="E22" s="1294">
        <v>5.66</v>
      </c>
      <c r="F22" s="1281" t="s">
        <v>298</v>
      </c>
      <c r="G22" s="1281" t="s">
        <v>298</v>
      </c>
      <c r="H22" s="1294">
        <v>5.89</v>
      </c>
      <c r="I22" s="1294" t="s">
        <v>298</v>
      </c>
      <c r="J22" s="1294" t="s">
        <v>298</v>
      </c>
      <c r="K22" s="1281">
        <v>7.97</v>
      </c>
      <c r="L22" s="1281" t="s">
        <v>298</v>
      </c>
      <c r="M22" s="1281" t="s">
        <v>298</v>
      </c>
      <c r="O22" s="1278"/>
    </row>
    <row r="23" spans="1:15" s="33" customFormat="1" ht="9.9499999999999993" customHeight="1">
      <c r="A23" s="1297"/>
      <c r="B23" s="1569" t="s">
        <v>374</v>
      </c>
      <c r="C23" s="1293" t="s">
        <v>375</v>
      </c>
      <c r="D23" s="1296"/>
      <c r="E23" s="1296"/>
      <c r="F23" s="1296"/>
      <c r="G23" s="1296"/>
      <c r="H23" s="877"/>
      <c r="I23" s="877"/>
      <c r="J23" s="877"/>
      <c r="K23" s="1296"/>
      <c r="L23" s="1296"/>
      <c r="M23" s="1296"/>
      <c r="O23" s="1278"/>
    </row>
    <row r="24" spans="1:15" s="33" customFormat="1" ht="9.9499999999999993" customHeight="1">
      <c r="A24" s="1298"/>
      <c r="B24" s="638" t="s">
        <v>364</v>
      </c>
      <c r="C24" s="69" t="s">
        <v>363</v>
      </c>
      <c r="D24" s="1281" t="s">
        <v>298</v>
      </c>
      <c r="E24" s="1294">
        <v>5.66</v>
      </c>
      <c r="F24" s="1281">
        <v>6.5</v>
      </c>
      <c r="G24" s="1281" t="s">
        <v>298</v>
      </c>
      <c r="H24" s="1294">
        <v>5.9799999999999995</v>
      </c>
      <c r="I24" s="1294">
        <v>8.82</v>
      </c>
      <c r="J24" s="1294">
        <v>5.7</v>
      </c>
      <c r="K24" s="1281">
        <v>8.1</v>
      </c>
      <c r="L24" s="1281">
        <v>6.56</v>
      </c>
      <c r="M24" s="1281" t="s">
        <v>298</v>
      </c>
      <c r="O24" s="1278"/>
    </row>
    <row r="25" spans="1:15" s="33" customFormat="1" ht="10.5" customHeight="1">
      <c r="A25" s="1297"/>
      <c r="B25" s="340" t="s">
        <v>365</v>
      </c>
      <c r="C25" s="1293" t="s">
        <v>366</v>
      </c>
      <c r="D25" s="1296" t="s">
        <v>298</v>
      </c>
      <c r="E25" s="877">
        <v>5.66</v>
      </c>
      <c r="F25" s="1296">
        <v>6.5</v>
      </c>
      <c r="G25" s="1296" t="s">
        <v>298</v>
      </c>
      <c r="H25" s="877">
        <v>6.0699999999999994</v>
      </c>
      <c r="I25" s="877" t="s">
        <v>298</v>
      </c>
      <c r="J25" s="877">
        <v>5.74</v>
      </c>
      <c r="K25" s="1296" t="s">
        <v>298</v>
      </c>
      <c r="L25" s="1296">
        <v>6.56</v>
      </c>
      <c r="M25" s="1296">
        <v>7.5</v>
      </c>
      <c r="O25" s="1278"/>
    </row>
    <row r="26" spans="1:15" s="33" customFormat="1" ht="9.9499999999999993" customHeight="1">
      <c r="A26" s="1298"/>
      <c r="B26" s="638" t="s">
        <v>299</v>
      </c>
      <c r="C26" s="69" t="s">
        <v>367</v>
      </c>
      <c r="D26" s="1281" t="s">
        <v>298</v>
      </c>
      <c r="E26" s="1294">
        <v>5.66</v>
      </c>
      <c r="F26" s="1281" t="s">
        <v>298</v>
      </c>
      <c r="G26" s="1281" t="s">
        <v>298</v>
      </c>
      <c r="H26" s="1294">
        <v>6.77</v>
      </c>
      <c r="I26" s="1294" t="s">
        <v>298</v>
      </c>
      <c r="J26" s="1294" t="s">
        <v>298</v>
      </c>
      <c r="K26" s="1281" t="s">
        <v>298</v>
      </c>
      <c r="L26" s="1281">
        <v>6.56</v>
      </c>
      <c r="M26" s="1281" t="s">
        <v>298</v>
      </c>
      <c r="O26" s="1278"/>
    </row>
    <row r="27" spans="1:15" s="33" customFormat="1" ht="9.9499999999999993" customHeight="1">
      <c r="A27" s="1297"/>
      <c r="B27" s="340" t="s">
        <v>300</v>
      </c>
      <c r="C27" s="1293" t="s">
        <v>368</v>
      </c>
      <c r="D27" s="1296" t="s">
        <v>298</v>
      </c>
      <c r="E27" s="877" t="s">
        <v>298</v>
      </c>
      <c r="F27" s="1296" t="s">
        <v>298</v>
      </c>
      <c r="G27" s="1296" t="s">
        <v>298</v>
      </c>
      <c r="H27" s="877">
        <v>6.94</v>
      </c>
      <c r="I27" s="877" t="s">
        <v>298</v>
      </c>
      <c r="J27" s="877" t="s">
        <v>298</v>
      </c>
      <c r="K27" s="1296" t="s">
        <v>298</v>
      </c>
      <c r="L27" s="1296">
        <v>6.56</v>
      </c>
      <c r="M27" s="1296" t="s">
        <v>298</v>
      </c>
      <c r="O27" s="1278"/>
    </row>
    <row r="28" spans="1:15" s="33" customFormat="1" ht="10.5" customHeight="1">
      <c r="A28" s="1298"/>
      <c r="B28" s="254" t="s">
        <v>361</v>
      </c>
      <c r="C28" s="1300" t="s">
        <v>362</v>
      </c>
      <c r="D28" s="1281"/>
      <c r="E28" s="1281"/>
      <c r="F28" s="1282"/>
      <c r="G28" s="1281"/>
      <c r="H28" s="1294"/>
      <c r="I28" s="1294"/>
      <c r="J28" s="1294"/>
      <c r="K28" s="1281"/>
      <c r="L28" s="1281"/>
      <c r="M28" s="1281"/>
      <c r="O28" s="1278"/>
    </row>
    <row r="29" spans="1:15" s="33" customFormat="1" ht="9.9499999999999993" customHeight="1">
      <c r="A29" s="1297"/>
      <c r="B29" s="340" t="s">
        <v>309</v>
      </c>
      <c r="C29" s="951" t="s">
        <v>636</v>
      </c>
      <c r="D29" s="1296">
        <v>5.09</v>
      </c>
      <c r="E29" s="1296">
        <v>5.66</v>
      </c>
      <c r="F29" s="1296">
        <v>6</v>
      </c>
      <c r="G29" s="1296" t="s">
        <v>298</v>
      </c>
      <c r="H29" s="877">
        <v>5.27</v>
      </c>
      <c r="I29" s="877" t="s">
        <v>298</v>
      </c>
      <c r="J29" s="877">
        <v>5.49</v>
      </c>
      <c r="K29" s="1296" t="s">
        <v>298</v>
      </c>
      <c r="L29" s="1296">
        <v>6.89</v>
      </c>
      <c r="M29" s="1296">
        <v>7.5</v>
      </c>
      <c r="O29" s="1278"/>
    </row>
    <row r="30" spans="1:15" s="230" customFormat="1" ht="9.9499999999999993" customHeight="1">
      <c r="A30" s="366"/>
      <c r="B30" s="270" t="s">
        <v>365</v>
      </c>
      <c r="C30" s="269" t="s">
        <v>98</v>
      </c>
      <c r="D30" s="670">
        <v>5.19</v>
      </c>
      <c r="E30" s="670">
        <v>5.66</v>
      </c>
      <c r="F30" s="1282">
        <v>6.25</v>
      </c>
      <c r="G30" s="1282" t="s">
        <v>298</v>
      </c>
      <c r="H30" s="670">
        <v>5.36</v>
      </c>
      <c r="I30" s="670" t="s">
        <v>298</v>
      </c>
      <c r="J30" s="670">
        <v>5.57</v>
      </c>
      <c r="K30" s="1282" t="s">
        <v>298</v>
      </c>
      <c r="L30" s="1282">
        <v>6.89</v>
      </c>
      <c r="M30" s="1282">
        <v>7.5</v>
      </c>
      <c r="O30" s="1278"/>
    </row>
    <row r="31" spans="1:15" s="230" customFormat="1" ht="9.9499999999999993" customHeight="1">
      <c r="A31" s="1297"/>
      <c r="B31" s="340" t="s">
        <v>299</v>
      </c>
      <c r="C31" s="1293" t="s">
        <v>99</v>
      </c>
      <c r="D31" s="877" t="s">
        <v>298</v>
      </c>
      <c r="E31" s="877" t="s">
        <v>298</v>
      </c>
      <c r="F31" s="1296"/>
      <c r="G31" s="1296" t="s">
        <v>298</v>
      </c>
      <c r="H31" s="877">
        <v>5.45</v>
      </c>
      <c r="I31" s="877" t="s">
        <v>298</v>
      </c>
      <c r="J31" s="877">
        <v>5.44</v>
      </c>
      <c r="K31" s="1296" t="s">
        <v>298</v>
      </c>
      <c r="L31" s="1296">
        <v>6.89</v>
      </c>
      <c r="M31" s="1296">
        <v>7.5</v>
      </c>
      <c r="O31" s="1278"/>
    </row>
    <row r="32" spans="1:15" s="230" customFormat="1" ht="9.9499999999999993" customHeight="1">
      <c r="A32" s="366"/>
      <c r="B32" s="270" t="s">
        <v>300</v>
      </c>
      <c r="C32" s="269" t="s">
        <v>369</v>
      </c>
      <c r="D32" s="670">
        <v>5.89</v>
      </c>
      <c r="E32" s="670" t="s">
        <v>298</v>
      </c>
      <c r="F32" s="1282">
        <v>6.5</v>
      </c>
      <c r="G32" s="1282" t="s">
        <v>298</v>
      </c>
      <c r="H32" s="670">
        <v>5.54</v>
      </c>
      <c r="I32" s="670">
        <v>8.2799999999999994</v>
      </c>
      <c r="J32" s="670">
        <v>5.44</v>
      </c>
      <c r="K32" s="1282">
        <v>7.96</v>
      </c>
      <c r="L32" s="1282">
        <v>6.89</v>
      </c>
      <c r="M32" s="1282">
        <v>7.5</v>
      </c>
      <c r="O32" s="1278"/>
    </row>
    <row r="33" spans="1:16" s="230" customFormat="1" ht="9.9499999999999993" customHeight="1">
      <c r="A33" s="1297"/>
      <c r="B33" s="340" t="s">
        <v>2274</v>
      </c>
      <c r="C33" s="1293" t="s">
        <v>363</v>
      </c>
      <c r="D33" s="1296" t="s">
        <v>298</v>
      </c>
      <c r="E33" s="877" t="s">
        <v>298</v>
      </c>
      <c r="F33" s="1296"/>
      <c r="G33" s="1296" t="s">
        <v>298</v>
      </c>
      <c r="H33" s="877" t="s">
        <v>298</v>
      </c>
      <c r="I33" s="877" t="s">
        <v>298</v>
      </c>
      <c r="J33" s="877">
        <v>5.4</v>
      </c>
      <c r="K33" s="1296" t="s">
        <v>298</v>
      </c>
      <c r="L33" s="1296">
        <v>6.89</v>
      </c>
      <c r="M33" s="1296" t="s">
        <v>298</v>
      </c>
      <c r="O33" s="1278"/>
    </row>
    <row r="34" spans="1:16" s="230" customFormat="1" ht="9.9499999999999993" customHeight="1">
      <c r="A34" s="366"/>
      <c r="B34" s="1568" t="s">
        <v>371</v>
      </c>
      <c r="C34" s="269" t="s">
        <v>787</v>
      </c>
      <c r="D34" s="1282">
        <v>6.13</v>
      </c>
      <c r="E34" s="1282"/>
      <c r="F34" s="1282">
        <v>6.5</v>
      </c>
      <c r="G34" s="1282" t="s">
        <v>298</v>
      </c>
      <c r="H34" s="670">
        <v>5.8000000000000007</v>
      </c>
      <c r="I34" s="670" t="s">
        <v>298</v>
      </c>
      <c r="J34" s="670">
        <v>4.8499999999999996</v>
      </c>
      <c r="K34" s="1282">
        <v>7.96</v>
      </c>
      <c r="L34" s="1282">
        <v>6.56</v>
      </c>
      <c r="M34" s="1282" t="s">
        <v>298</v>
      </c>
      <c r="O34" s="1278"/>
    </row>
    <row r="35" spans="1:16" s="230" customFormat="1" ht="10.5" customHeight="1">
      <c r="A35" s="1297"/>
      <c r="B35" s="1569" t="s">
        <v>309</v>
      </c>
      <c r="C35" s="1569" t="s">
        <v>102</v>
      </c>
      <c r="D35" s="1296" t="s">
        <v>298</v>
      </c>
      <c r="E35" s="1296" t="s">
        <v>298</v>
      </c>
      <c r="F35" s="1296" t="s">
        <v>298</v>
      </c>
      <c r="G35" s="1296" t="s">
        <v>298</v>
      </c>
      <c r="H35" s="877" t="s">
        <v>298</v>
      </c>
      <c r="I35" s="877" t="s">
        <v>298</v>
      </c>
      <c r="J35" s="877" t="s">
        <v>298</v>
      </c>
      <c r="K35" s="1296" t="s">
        <v>298</v>
      </c>
      <c r="L35" s="1296">
        <v>4.2699999999999996</v>
      </c>
      <c r="M35" s="1296" t="s">
        <v>298</v>
      </c>
      <c r="O35" s="1278"/>
    </row>
    <row r="36" spans="1:16" s="230" customFormat="1" ht="9.9499999999999993" customHeight="1">
      <c r="A36" s="366"/>
      <c r="B36" s="1568" t="s">
        <v>310</v>
      </c>
      <c r="C36" s="1568" t="s">
        <v>103</v>
      </c>
      <c r="D36" s="1282" t="s">
        <v>298</v>
      </c>
      <c r="E36" s="1282" t="s">
        <v>298</v>
      </c>
      <c r="F36" s="1282">
        <v>4</v>
      </c>
      <c r="G36" s="1282" t="s">
        <v>298</v>
      </c>
      <c r="H36" s="670" t="s">
        <v>298</v>
      </c>
      <c r="I36" s="670" t="s">
        <v>298</v>
      </c>
      <c r="J36" s="670">
        <v>5.23</v>
      </c>
      <c r="K36" s="1282" t="s">
        <v>298</v>
      </c>
      <c r="L36" s="1282">
        <v>4.2699999999999996</v>
      </c>
      <c r="M36" s="1282" t="s">
        <v>298</v>
      </c>
      <c r="O36" s="1278"/>
    </row>
    <row r="37" spans="1:16" s="230" customFormat="1" ht="9.9499999999999993" customHeight="1">
      <c r="A37" s="1297"/>
      <c r="B37" s="1569" t="s">
        <v>311</v>
      </c>
      <c r="C37" s="1569" t="s">
        <v>104</v>
      </c>
      <c r="D37" s="1296" t="s">
        <v>298</v>
      </c>
      <c r="E37" s="1296" t="s">
        <v>298</v>
      </c>
      <c r="F37" s="1296"/>
      <c r="G37" s="1296" t="s">
        <v>298</v>
      </c>
      <c r="H37" s="877" t="s">
        <v>298</v>
      </c>
      <c r="I37" s="877" t="s">
        <v>298</v>
      </c>
      <c r="J37" s="877">
        <v>4.9800000000000004</v>
      </c>
      <c r="K37" s="1296" t="s">
        <v>298</v>
      </c>
      <c r="L37" s="1296">
        <v>3.94</v>
      </c>
      <c r="M37" s="1296" t="s">
        <v>298</v>
      </c>
      <c r="O37" s="1278"/>
    </row>
    <row r="38" spans="1:16" s="230" customFormat="1" ht="9.9499999999999993" customHeight="1">
      <c r="A38" s="366"/>
      <c r="B38" s="1568" t="s">
        <v>312</v>
      </c>
      <c r="C38" s="1568" t="s">
        <v>105</v>
      </c>
      <c r="D38" s="1282" t="s">
        <v>298</v>
      </c>
      <c r="E38" s="1282" t="s">
        <v>298</v>
      </c>
      <c r="F38" s="1282" t="s">
        <v>298</v>
      </c>
      <c r="G38" s="1282" t="s">
        <v>298</v>
      </c>
      <c r="H38" s="670" t="s">
        <v>298</v>
      </c>
      <c r="I38" s="670" t="s">
        <v>298</v>
      </c>
      <c r="J38" s="670" t="s">
        <v>298</v>
      </c>
      <c r="K38" s="1282" t="s">
        <v>298</v>
      </c>
      <c r="L38" s="1282">
        <v>3.74</v>
      </c>
      <c r="M38" s="1282" t="s">
        <v>298</v>
      </c>
      <c r="O38" s="1278"/>
    </row>
    <row r="39" spans="1:16" s="230" customFormat="1" ht="9.9499999999999993" customHeight="1">
      <c r="A39" s="1297"/>
      <c r="B39" s="1569" t="s">
        <v>313</v>
      </c>
      <c r="C39" s="1569" t="s">
        <v>106</v>
      </c>
      <c r="D39" s="1296" t="s">
        <v>298</v>
      </c>
      <c r="E39" s="877">
        <v>5.66</v>
      </c>
      <c r="F39" s="1296">
        <v>6.5</v>
      </c>
      <c r="G39" s="1296" t="s">
        <v>298</v>
      </c>
      <c r="H39" s="877">
        <v>3.6900000000000004</v>
      </c>
      <c r="I39" s="877">
        <v>8.6</v>
      </c>
      <c r="J39" s="877" t="s">
        <v>298</v>
      </c>
      <c r="K39" s="1296" t="s">
        <v>298</v>
      </c>
      <c r="L39" s="1296">
        <v>6.56</v>
      </c>
      <c r="M39" s="1296">
        <v>7.5</v>
      </c>
      <c r="O39" s="1278"/>
    </row>
    <row r="40" spans="1:16" s="230" customFormat="1" ht="9.9499999999999993" customHeight="1">
      <c r="A40" s="366"/>
      <c r="B40" s="1568" t="s">
        <v>314</v>
      </c>
      <c r="C40" s="1568" t="s">
        <v>107</v>
      </c>
      <c r="D40" s="1282" t="s">
        <v>298</v>
      </c>
      <c r="E40" s="1282" t="s">
        <v>298</v>
      </c>
      <c r="F40" s="1282" t="s">
        <v>298</v>
      </c>
      <c r="G40" s="1282" t="s">
        <v>298</v>
      </c>
      <c r="H40" s="670" t="s">
        <v>298</v>
      </c>
      <c r="I40" s="670" t="s">
        <v>298</v>
      </c>
      <c r="J40" s="670" t="s">
        <v>298</v>
      </c>
      <c r="K40" s="1282" t="s">
        <v>298</v>
      </c>
      <c r="L40" s="1282">
        <v>6.56</v>
      </c>
      <c r="M40" s="1282" t="s">
        <v>298</v>
      </c>
      <c r="O40" s="1278"/>
    </row>
    <row r="41" spans="1:16" s="230" customFormat="1" ht="9.9499999999999993" customHeight="1">
      <c r="A41" s="1297"/>
      <c r="B41" s="1569" t="s">
        <v>315</v>
      </c>
      <c r="C41" s="1569" t="s">
        <v>108</v>
      </c>
      <c r="D41" s="1296" t="s">
        <v>298</v>
      </c>
      <c r="E41" s="1296" t="s">
        <v>298</v>
      </c>
      <c r="F41" s="1296">
        <v>6.5</v>
      </c>
      <c r="G41" s="1296">
        <v>5.25</v>
      </c>
      <c r="H41" s="877">
        <v>6.77</v>
      </c>
      <c r="I41" s="877" t="s">
        <v>298</v>
      </c>
      <c r="J41" s="877">
        <v>5.7</v>
      </c>
      <c r="K41" s="1296" t="s">
        <v>298</v>
      </c>
      <c r="L41" s="1296">
        <v>6.24</v>
      </c>
      <c r="M41" s="1296" t="s">
        <v>298</v>
      </c>
      <c r="O41" s="1278"/>
      <c r="P41" s="295"/>
    </row>
    <row r="42" spans="1:16" s="230" customFormat="1" ht="9.9499999999999993" customHeight="1">
      <c r="A42" s="1568"/>
      <c r="B42" s="1568" t="s">
        <v>316</v>
      </c>
      <c r="C42" s="1568" t="s">
        <v>109</v>
      </c>
      <c r="D42" s="1282" t="s">
        <v>298</v>
      </c>
      <c r="E42" s="1282" t="s">
        <v>298</v>
      </c>
      <c r="F42" s="1282">
        <v>3.75</v>
      </c>
      <c r="G42" s="1282">
        <v>5.25</v>
      </c>
      <c r="H42" s="670" t="s">
        <v>298</v>
      </c>
      <c r="I42" s="670" t="s">
        <v>298</v>
      </c>
      <c r="J42" s="670" t="s">
        <v>298</v>
      </c>
      <c r="K42" s="1282" t="s">
        <v>298</v>
      </c>
      <c r="L42" s="1282">
        <v>4.5</v>
      </c>
      <c r="M42" s="1282" t="s">
        <v>298</v>
      </c>
      <c r="O42" s="1278"/>
    </row>
    <row r="43" spans="1:16" s="230" customFormat="1" ht="9.9499999999999993" customHeight="1">
      <c r="A43" s="1569"/>
      <c r="B43" s="1569" t="s">
        <v>475</v>
      </c>
      <c r="C43" s="1569" t="s">
        <v>476</v>
      </c>
      <c r="D43" s="877">
        <v>5.89</v>
      </c>
      <c r="E43" s="877">
        <v>5.66</v>
      </c>
      <c r="F43" s="1296">
        <v>6.5</v>
      </c>
      <c r="G43" s="1296" t="s">
        <v>298</v>
      </c>
      <c r="H43" s="877" t="s">
        <v>298</v>
      </c>
      <c r="I43" s="877">
        <v>9.08</v>
      </c>
      <c r="J43" s="877">
        <v>5.44</v>
      </c>
      <c r="K43" s="1296" t="s">
        <v>298</v>
      </c>
      <c r="L43" s="1296" t="s">
        <v>298</v>
      </c>
      <c r="M43" s="1296">
        <v>7.5</v>
      </c>
      <c r="O43" s="1278"/>
    </row>
    <row r="44" spans="1:16" s="230" customFormat="1" ht="9.9499999999999993" customHeight="1">
      <c r="A44" s="1568"/>
      <c r="B44" s="1568" t="s">
        <v>477</v>
      </c>
      <c r="C44" s="1568" t="s">
        <v>479</v>
      </c>
      <c r="D44" s="670">
        <v>5.19</v>
      </c>
      <c r="E44" s="670">
        <v>5.66</v>
      </c>
      <c r="F44" s="1282">
        <v>6.25</v>
      </c>
      <c r="G44" s="1282" t="s">
        <v>298</v>
      </c>
      <c r="H44" s="670" t="s">
        <v>298</v>
      </c>
      <c r="I44" s="670">
        <v>7.8299999999999992</v>
      </c>
      <c r="J44" s="670">
        <v>5.57</v>
      </c>
      <c r="K44" s="1282" t="s">
        <v>298</v>
      </c>
      <c r="L44" s="1282" t="s">
        <v>298</v>
      </c>
      <c r="M44" s="1282">
        <v>7.5</v>
      </c>
      <c r="O44" s="1278"/>
    </row>
    <row r="45" spans="1:16" s="230" customFormat="1" ht="9.9499999999999993" customHeight="1">
      <c r="A45" s="1569"/>
      <c r="B45" s="1569" t="s">
        <v>480</v>
      </c>
      <c r="C45" s="1283" t="s">
        <v>2019</v>
      </c>
      <c r="D45" s="877" t="s">
        <v>298</v>
      </c>
      <c r="E45" s="877" t="s">
        <v>298</v>
      </c>
      <c r="F45" s="1296" t="s">
        <v>298</v>
      </c>
      <c r="G45" s="1296" t="s">
        <v>298</v>
      </c>
      <c r="H45" s="877" t="s">
        <v>298</v>
      </c>
      <c r="I45" s="877">
        <v>7.8100000000000005</v>
      </c>
      <c r="J45" s="877" t="s">
        <v>298</v>
      </c>
      <c r="K45" s="1296">
        <v>6.39</v>
      </c>
      <c r="L45" s="1296">
        <v>5.86</v>
      </c>
      <c r="M45" s="1296" t="s">
        <v>298</v>
      </c>
      <c r="O45" s="1278"/>
    </row>
    <row r="46" spans="1:16" s="230" customFormat="1" ht="9.9499999999999993" customHeight="1">
      <c r="A46" s="1568"/>
      <c r="B46" s="1568" t="s">
        <v>481</v>
      </c>
      <c r="C46" s="367" t="s">
        <v>788</v>
      </c>
      <c r="D46" s="670">
        <v>6.25</v>
      </c>
      <c r="E46" s="670">
        <v>5.66</v>
      </c>
      <c r="F46" s="1282" t="s">
        <v>298</v>
      </c>
      <c r="G46" s="1282" t="s">
        <v>298</v>
      </c>
      <c r="H46" s="670" t="s">
        <v>298</v>
      </c>
      <c r="I46" s="670" t="s">
        <v>298</v>
      </c>
      <c r="J46" s="670">
        <v>4.8899999999999997</v>
      </c>
      <c r="K46" s="1282">
        <v>6.39</v>
      </c>
      <c r="L46" s="1282">
        <v>5.57</v>
      </c>
      <c r="M46" s="1282" t="s">
        <v>298</v>
      </c>
      <c r="O46" s="1278"/>
    </row>
    <row r="47" spans="1:16" s="230" customFormat="1" ht="9.9499999999999993" customHeight="1">
      <c r="A47" s="1569"/>
      <c r="B47" s="1569" t="s">
        <v>281</v>
      </c>
      <c r="C47" s="1283" t="s">
        <v>789</v>
      </c>
      <c r="D47" s="877">
        <v>5.75</v>
      </c>
      <c r="E47" s="877">
        <v>5.66</v>
      </c>
      <c r="F47" s="745">
        <v>6</v>
      </c>
      <c r="G47" s="745" t="s">
        <v>298</v>
      </c>
      <c r="H47" s="877">
        <v>5.45</v>
      </c>
      <c r="I47" s="877" t="s">
        <v>298</v>
      </c>
      <c r="J47" s="877">
        <v>4.8899999999999997</v>
      </c>
      <c r="K47" s="745">
        <v>6.39</v>
      </c>
      <c r="L47" s="745">
        <v>5.28</v>
      </c>
      <c r="M47" s="745">
        <v>8.25</v>
      </c>
      <c r="O47" s="1278"/>
    </row>
    <row r="48" spans="1:16" s="230" customFormat="1" ht="9.9499999999999993" customHeight="1">
      <c r="A48" s="1568"/>
      <c r="B48" s="1568" t="s">
        <v>307</v>
      </c>
      <c r="C48" s="1568" t="s">
        <v>282</v>
      </c>
      <c r="D48" s="1282" t="s">
        <v>298</v>
      </c>
      <c r="E48" s="670">
        <v>5.66</v>
      </c>
      <c r="F48" s="1282">
        <v>6</v>
      </c>
      <c r="G48" s="1282" t="s">
        <v>298</v>
      </c>
      <c r="H48" s="670" t="s">
        <v>298</v>
      </c>
      <c r="I48" s="670">
        <v>7.93</v>
      </c>
      <c r="J48" s="670">
        <v>5.57</v>
      </c>
      <c r="K48" s="1282">
        <v>6.81</v>
      </c>
      <c r="L48" s="1282">
        <v>5.57</v>
      </c>
      <c r="M48" s="1282" t="s">
        <v>298</v>
      </c>
      <c r="O48" s="1278"/>
    </row>
    <row r="49" spans="1:16" s="230" customFormat="1" ht="9.9499999999999993" customHeight="1">
      <c r="A49" s="1569"/>
      <c r="B49" s="1569" t="s">
        <v>2275</v>
      </c>
      <c r="C49" s="1569" t="s">
        <v>2276</v>
      </c>
      <c r="D49" s="1296">
        <v>2.36</v>
      </c>
      <c r="E49" s="877" t="s">
        <v>298</v>
      </c>
      <c r="F49" s="1296">
        <v>4</v>
      </c>
      <c r="G49" s="1296" t="s">
        <v>298</v>
      </c>
      <c r="H49" s="877" t="s">
        <v>298</v>
      </c>
      <c r="I49" s="877" t="s">
        <v>298</v>
      </c>
      <c r="J49" s="877">
        <v>2.64</v>
      </c>
      <c r="K49" s="1296" t="s">
        <v>298</v>
      </c>
      <c r="L49" s="1296">
        <v>4</v>
      </c>
      <c r="M49" s="1296" t="s">
        <v>298</v>
      </c>
      <c r="O49" s="1278"/>
    </row>
    <row r="50" spans="1:16" s="275" customFormat="1" ht="9.9499999999999993" customHeight="1">
      <c r="A50" s="1301" t="s">
        <v>607</v>
      </c>
      <c r="B50" s="2410" t="s">
        <v>53</v>
      </c>
      <c r="C50" s="2410"/>
      <c r="D50" s="1282" t="s">
        <v>298</v>
      </c>
      <c r="E50" s="670">
        <v>2.25</v>
      </c>
      <c r="F50" s="1282" t="s">
        <v>298</v>
      </c>
      <c r="G50" s="1282">
        <v>2.5</v>
      </c>
      <c r="H50" s="670">
        <v>1.32</v>
      </c>
      <c r="I50" s="670">
        <v>5.56</v>
      </c>
      <c r="J50" s="670" t="s">
        <v>298</v>
      </c>
      <c r="K50" s="1282">
        <v>3.43</v>
      </c>
      <c r="L50" s="1282">
        <v>3.5</v>
      </c>
      <c r="M50" s="1282">
        <v>2.5</v>
      </c>
      <c r="O50" s="1278"/>
    </row>
    <row r="51" spans="1:16" s="230" customFormat="1" ht="9.9499999999999993" customHeight="1">
      <c r="A51" s="1295" t="s">
        <v>608</v>
      </c>
      <c r="B51" s="2411" t="s">
        <v>54</v>
      </c>
      <c r="C51" s="2411"/>
      <c r="D51" s="1296"/>
      <c r="E51" s="1296"/>
      <c r="F51" s="1296"/>
      <c r="G51" s="1296"/>
      <c r="H51" s="877"/>
      <c r="I51" s="877"/>
      <c r="J51" s="877"/>
      <c r="K51" s="1296"/>
      <c r="L51" s="1296"/>
      <c r="M51" s="1296"/>
      <c r="O51" s="1278"/>
    </row>
    <row r="52" spans="1:16" s="230" customFormat="1" ht="11.25" customHeight="1">
      <c r="A52" s="366"/>
      <c r="B52" s="1568" t="s">
        <v>635</v>
      </c>
      <c r="C52" s="1568" t="s">
        <v>243</v>
      </c>
      <c r="D52" s="1282"/>
      <c r="E52" s="1282"/>
      <c r="F52" s="1282"/>
      <c r="G52" s="1282"/>
      <c r="H52" s="670"/>
      <c r="I52" s="670"/>
      <c r="J52" s="670"/>
      <c r="K52" s="1282"/>
      <c r="L52" s="1282"/>
      <c r="M52" s="1282"/>
      <c r="O52" s="1278"/>
    </row>
    <row r="53" spans="1:16" s="230" customFormat="1" ht="9.9499999999999993" customHeight="1">
      <c r="A53" s="1297"/>
      <c r="B53" s="1569"/>
      <c r="C53" s="1569" t="s">
        <v>378</v>
      </c>
      <c r="D53" s="877">
        <v>5.89</v>
      </c>
      <c r="E53" s="877">
        <v>5.66</v>
      </c>
      <c r="F53" s="1296">
        <v>6.5</v>
      </c>
      <c r="G53" s="1296">
        <v>5.25</v>
      </c>
      <c r="H53" s="877">
        <v>5.58</v>
      </c>
      <c r="I53" s="877" t="s">
        <v>298</v>
      </c>
      <c r="J53" s="877" t="s">
        <v>298</v>
      </c>
      <c r="K53" s="1296">
        <v>9.18</v>
      </c>
      <c r="L53" s="1296">
        <v>6.56</v>
      </c>
      <c r="M53" s="1296" t="s">
        <v>298</v>
      </c>
      <c r="O53" s="1278"/>
      <c r="P53" s="1566"/>
    </row>
    <row r="54" spans="1:16" s="230" customFormat="1" ht="9.9499999999999993" customHeight="1">
      <c r="A54" s="366"/>
      <c r="B54" s="1568"/>
      <c r="C54" s="1568" t="s">
        <v>376</v>
      </c>
      <c r="D54" s="670">
        <v>6.13</v>
      </c>
      <c r="E54" s="670">
        <v>5.66</v>
      </c>
      <c r="F54" s="1282">
        <v>6.5</v>
      </c>
      <c r="G54" s="1282" t="s">
        <v>298</v>
      </c>
      <c r="H54" s="670" t="s">
        <v>298</v>
      </c>
      <c r="I54" s="670" t="s">
        <v>298</v>
      </c>
      <c r="J54" s="670" t="s">
        <v>298</v>
      </c>
      <c r="K54" s="1282" t="s">
        <v>298</v>
      </c>
      <c r="L54" s="1282">
        <v>6.56</v>
      </c>
      <c r="M54" s="1282" t="s">
        <v>298</v>
      </c>
      <c r="O54" s="1278"/>
    </row>
    <row r="55" spans="1:16" s="230" customFormat="1" ht="9.9499999999999993" customHeight="1">
      <c r="A55" s="1297"/>
      <c r="B55" s="1569"/>
      <c r="C55" s="1569" t="s">
        <v>377</v>
      </c>
      <c r="D55" s="1296" t="s">
        <v>298</v>
      </c>
      <c r="E55" s="877">
        <v>5.66</v>
      </c>
      <c r="F55" s="1296" t="s">
        <v>298</v>
      </c>
      <c r="G55" s="1296" t="s">
        <v>298</v>
      </c>
      <c r="H55" s="877" t="s">
        <v>298</v>
      </c>
      <c r="I55" s="877" t="s">
        <v>298</v>
      </c>
      <c r="J55" s="877" t="s">
        <v>298</v>
      </c>
      <c r="K55" s="1296" t="s">
        <v>298</v>
      </c>
      <c r="L55" s="1296">
        <v>6.56</v>
      </c>
      <c r="M55" s="1296" t="s">
        <v>298</v>
      </c>
      <c r="O55" s="1278"/>
    </row>
    <row r="56" spans="1:16" s="230" customFormat="1" ht="10.5" customHeight="1">
      <c r="A56" s="366"/>
      <c r="B56" s="1568" t="s">
        <v>637</v>
      </c>
      <c r="C56" s="1568" t="s">
        <v>379</v>
      </c>
      <c r="D56" s="1282" t="s">
        <v>298</v>
      </c>
      <c r="E56" s="670">
        <v>5.66</v>
      </c>
      <c r="F56" s="1282" t="s">
        <v>298</v>
      </c>
      <c r="G56" s="1282" t="s">
        <v>298</v>
      </c>
      <c r="H56" s="670" t="s">
        <v>298</v>
      </c>
      <c r="I56" s="670">
        <v>8.36</v>
      </c>
      <c r="J56" s="670">
        <v>4.68</v>
      </c>
      <c r="K56" s="1282" t="s">
        <v>298</v>
      </c>
      <c r="L56" s="1282">
        <v>6.56</v>
      </c>
      <c r="M56" s="1282" t="s">
        <v>298</v>
      </c>
      <c r="O56" s="1278"/>
    </row>
    <row r="57" spans="1:16" s="493" customFormat="1" ht="10.5" customHeight="1" thickBot="1">
      <c r="A57" s="1054"/>
      <c r="B57" s="1055" t="s">
        <v>639</v>
      </c>
      <c r="C57" s="1055" t="s">
        <v>55</v>
      </c>
      <c r="D57" s="968">
        <v>6.37</v>
      </c>
      <c r="E57" s="968">
        <v>5.66</v>
      </c>
      <c r="F57" s="1263">
        <v>8.5</v>
      </c>
      <c r="G57" s="1263" t="s">
        <v>298</v>
      </c>
      <c r="H57" s="968">
        <v>6.59</v>
      </c>
      <c r="I57" s="968" t="s">
        <v>298</v>
      </c>
      <c r="J57" s="968">
        <v>5.0599999999999996</v>
      </c>
      <c r="K57" s="1263" t="s">
        <v>298</v>
      </c>
      <c r="L57" s="1263" t="s">
        <v>298</v>
      </c>
      <c r="M57" s="1263">
        <v>3.5</v>
      </c>
      <c r="O57" s="1278"/>
    </row>
    <row r="58" spans="1:16" s="33" customFormat="1" ht="9.75" customHeight="1">
      <c r="A58" s="2244" t="s">
        <v>1305</v>
      </c>
      <c r="B58" s="2412"/>
      <c r="C58" s="2412"/>
      <c r="D58" s="2412"/>
      <c r="E58" s="109"/>
      <c r="F58" s="109"/>
      <c r="G58" s="921"/>
      <c r="H58" s="109"/>
      <c r="I58" s="109"/>
      <c r="J58" s="109"/>
    </row>
    <row r="59" spans="1:16" s="8" customFormat="1" ht="9" customHeight="1">
      <c r="A59" s="9"/>
      <c r="C59" s="55" t="s">
        <v>380</v>
      </c>
      <c r="D59" s="953"/>
      <c r="E59" s="953"/>
      <c r="F59" s="953"/>
      <c r="G59" s="225"/>
      <c r="H59" s="953"/>
      <c r="I59" s="953"/>
      <c r="J59" s="953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9"/>
  <sheetViews>
    <sheetView topLeftCell="BM1" zoomScale="180" zoomScaleNormal="180" workbookViewId="0">
      <pane ySplit="6" topLeftCell="A48" activePane="bottomLeft" state="frozen"/>
      <selection activeCell="H48" sqref="H48"/>
      <selection pane="bottomLeft" activeCell="Y51" sqref="Y51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647</v>
      </c>
      <c r="I1" s="1920" t="s">
        <v>125</v>
      </c>
      <c r="J1" s="1920"/>
      <c r="K1" s="1920"/>
      <c r="L1" s="1920"/>
      <c r="M1" s="1920"/>
      <c r="N1" s="1920"/>
      <c r="O1" s="1920"/>
      <c r="P1" s="1920"/>
      <c r="Q1" s="1920"/>
      <c r="R1" s="218" t="s">
        <v>126</v>
      </c>
      <c r="W1" s="1915" t="s">
        <v>1678</v>
      </c>
      <c r="X1" s="1915"/>
      <c r="Y1" s="1915"/>
      <c r="Z1" s="1472"/>
      <c r="AE1" s="1903" t="s">
        <v>125</v>
      </c>
      <c r="AF1" s="1903"/>
      <c r="AG1" s="1903"/>
      <c r="AH1" s="1903"/>
      <c r="AI1" s="1925" t="s">
        <v>304</v>
      </c>
      <c r="AJ1" s="1865"/>
      <c r="AN1" s="1915" t="s">
        <v>305</v>
      </c>
      <c r="AO1" s="1915"/>
      <c r="AP1" s="1915"/>
      <c r="AQ1" s="219"/>
      <c r="AR1" s="220"/>
      <c r="AS1" s="220"/>
      <c r="AT1" s="220"/>
      <c r="AU1" s="220"/>
      <c r="AV1" s="1886" t="s">
        <v>125</v>
      </c>
      <c r="AW1" s="1886"/>
      <c r="AX1" s="1886"/>
      <c r="AY1" s="1885" t="s">
        <v>304</v>
      </c>
      <c r="AZ1" s="1885"/>
      <c r="BA1" s="1885"/>
      <c r="BB1" s="1885"/>
      <c r="BC1" s="1885"/>
      <c r="BD1" s="1885"/>
      <c r="BE1" s="1885"/>
      <c r="BF1" s="1915" t="s">
        <v>305</v>
      </c>
      <c r="BG1" s="1915"/>
      <c r="BH1" s="1915"/>
      <c r="BJ1" s="1472"/>
      <c r="BK1" s="1472"/>
      <c r="BL1" s="1472"/>
      <c r="BM1" s="1472"/>
      <c r="BN1" s="1472"/>
      <c r="BO1" s="1472"/>
      <c r="BP1" s="1886" t="s">
        <v>125</v>
      </c>
      <c r="BQ1" s="1886"/>
      <c r="BR1" s="1886"/>
      <c r="BS1" s="1886"/>
      <c r="BT1" s="1886"/>
      <c r="BU1" s="1885" t="s">
        <v>304</v>
      </c>
      <c r="BV1" s="1885"/>
      <c r="BW1" s="1885"/>
      <c r="BX1" s="128"/>
      <c r="BY1" s="128"/>
      <c r="CB1" s="128"/>
      <c r="CC1" s="1883" t="s">
        <v>589</v>
      </c>
      <c r="CD1" s="1883"/>
      <c r="CE1" s="1883"/>
    </row>
    <row r="2" spans="1:83" s="41" customFormat="1" ht="11.25" customHeight="1">
      <c r="I2" s="221"/>
      <c r="J2" s="221"/>
      <c r="K2" s="221"/>
      <c r="L2" s="221"/>
      <c r="M2" s="221"/>
      <c r="N2" s="221"/>
      <c r="O2" s="221"/>
      <c r="P2" s="1912" t="s">
        <v>1356</v>
      </c>
      <c r="Q2" s="1912"/>
      <c r="R2" s="41" t="s">
        <v>303</v>
      </c>
      <c r="X2" s="1904" t="s">
        <v>1679</v>
      </c>
      <c r="Y2" s="1904"/>
      <c r="Z2" s="1032"/>
      <c r="AF2" s="1032"/>
      <c r="AG2" s="1913" t="s">
        <v>1356</v>
      </c>
      <c r="AH2" s="1913"/>
      <c r="AI2" s="41" t="s">
        <v>303</v>
      </c>
      <c r="AN2" s="1032"/>
      <c r="AO2" s="1913" t="s">
        <v>24</v>
      </c>
      <c r="AP2" s="1914"/>
      <c r="AQ2" s="222"/>
      <c r="AR2" s="222"/>
      <c r="AS2" s="222"/>
      <c r="AT2" s="222"/>
      <c r="AU2" s="222"/>
      <c r="AV2" s="222"/>
      <c r="AW2" s="1912" t="s">
        <v>1357</v>
      </c>
      <c r="AX2" s="1912"/>
      <c r="AY2" s="1473" t="s">
        <v>303</v>
      </c>
      <c r="AZ2" s="1032"/>
      <c r="BA2" s="1032"/>
      <c r="BB2" s="1032"/>
      <c r="BC2" s="1032"/>
      <c r="BD2" s="1032"/>
      <c r="BE2" s="1032"/>
      <c r="BF2" s="1032"/>
      <c r="BG2" s="1913" t="s">
        <v>24</v>
      </c>
      <c r="BH2" s="1914"/>
      <c r="BJ2" s="1032"/>
      <c r="BK2" s="1032"/>
      <c r="BL2" s="1032"/>
      <c r="BM2" s="1032"/>
      <c r="BN2" s="1032"/>
      <c r="BO2" s="1032"/>
      <c r="BP2" s="222"/>
      <c r="BQ2" s="222"/>
      <c r="BS2" s="1896" t="s">
        <v>1358</v>
      </c>
      <c r="BT2" s="1896"/>
      <c r="BU2" s="1887" t="s">
        <v>303</v>
      </c>
      <c r="BV2" s="1887"/>
      <c r="BW2" s="1032"/>
      <c r="BX2" s="1032"/>
      <c r="BY2" s="1032"/>
      <c r="CB2" s="515"/>
      <c r="CC2" s="107"/>
      <c r="CD2" s="1884" t="s">
        <v>24</v>
      </c>
      <c r="CE2" s="1884"/>
    </row>
    <row r="3" spans="1:83" s="236" customFormat="1" ht="24.75" customHeight="1">
      <c r="I3" s="1905" t="s">
        <v>1431</v>
      </c>
      <c r="J3" s="1908" t="s">
        <v>120</v>
      </c>
      <c r="K3" s="1909"/>
      <c r="L3" s="1910"/>
      <c r="M3" s="1871" t="s">
        <v>176</v>
      </c>
      <c r="N3" s="1871" t="s">
        <v>1006</v>
      </c>
      <c r="O3" s="1874" t="s">
        <v>648</v>
      </c>
      <c r="P3" s="1875"/>
      <c r="Q3" s="1876"/>
      <c r="R3" s="1878" t="s">
        <v>177</v>
      </c>
      <c r="S3" s="1878"/>
      <c r="T3" s="1879"/>
      <c r="U3" s="1927" t="s">
        <v>395</v>
      </c>
      <c r="V3" s="1908" t="s">
        <v>124</v>
      </c>
      <c r="W3" s="1909"/>
      <c r="X3" s="1909"/>
      <c r="Y3" s="1910"/>
      <c r="Z3" s="1921" t="s">
        <v>1007</v>
      </c>
      <c r="AA3" s="1880" t="s">
        <v>396</v>
      </c>
      <c r="AB3" s="1880"/>
      <c r="AC3" s="1880"/>
      <c r="AD3" s="1880"/>
      <c r="AE3" s="1894" t="s">
        <v>1318</v>
      </c>
      <c r="AF3" s="1894"/>
      <c r="AG3" s="1894"/>
      <c r="AH3" s="1894"/>
      <c r="AI3" s="1880" t="s">
        <v>397</v>
      </c>
      <c r="AJ3" s="1880"/>
      <c r="AK3" s="1880"/>
      <c r="AL3" s="1880"/>
      <c r="AM3" s="1894" t="s">
        <v>1020</v>
      </c>
      <c r="AN3" s="1894"/>
      <c r="AO3" s="1894"/>
      <c r="AP3" s="1894"/>
      <c r="AQ3" s="1917" t="s">
        <v>1007</v>
      </c>
      <c r="AR3" s="1880" t="s">
        <v>22</v>
      </c>
      <c r="AS3" s="1880"/>
      <c r="AT3" s="1880"/>
      <c r="AU3" s="1880"/>
      <c r="AV3" s="1880" t="s">
        <v>152</v>
      </c>
      <c r="AW3" s="1880"/>
      <c r="AX3" s="1880"/>
      <c r="AY3" s="1880" t="s">
        <v>1397</v>
      </c>
      <c r="AZ3" s="1880"/>
      <c r="BA3" s="1880"/>
      <c r="BB3" s="1873" t="s">
        <v>283</v>
      </c>
      <c r="BC3" s="1873" t="s">
        <v>793</v>
      </c>
      <c r="BD3" s="1894" t="s">
        <v>684</v>
      </c>
      <c r="BE3" s="1894"/>
      <c r="BF3" s="1894"/>
      <c r="BG3" s="1894"/>
      <c r="BH3" s="1894"/>
      <c r="BI3" s="1905" t="s">
        <v>1007</v>
      </c>
      <c r="BJ3" s="1894" t="s">
        <v>130</v>
      </c>
      <c r="BK3" s="1894"/>
      <c r="BL3" s="1894"/>
      <c r="BM3" s="1895"/>
      <c r="BN3" s="1894"/>
      <c r="BO3" s="1873" t="s">
        <v>131</v>
      </c>
      <c r="BP3" s="1900" t="s">
        <v>2098</v>
      </c>
      <c r="BQ3" s="1891"/>
      <c r="BR3" s="1891"/>
      <c r="BS3" s="1891"/>
      <c r="BT3" s="1892"/>
      <c r="BU3" s="1894" t="s">
        <v>190</v>
      </c>
      <c r="BV3" s="1894"/>
      <c r="BW3" s="1894"/>
      <c r="BX3" s="1894"/>
      <c r="BY3" s="1894"/>
      <c r="BZ3" s="1894"/>
      <c r="CA3" s="1894"/>
      <c r="CB3" s="1894"/>
      <c r="CC3" s="1894"/>
      <c r="CD3" s="1894"/>
      <c r="CE3" s="1894"/>
    </row>
    <row r="4" spans="1:83" s="236" customFormat="1" ht="27" customHeight="1">
      <c r="I4" s="1906"/>
      <c r="J4" s="1873" t="s">
        <v>1386</v>
      </c>
      <c r="K4" s="1873" t="s">
        <v>1293</v>
      </c>
      <c r="L4" s="1871" t="s">
        <v>983</v>
      </c>
      <c r="M4" s="1922"/>
      <c r="N4" s="1923"/>
      <c r="O4" s="1871" t="s">
        <v>1008</v>
      </c>
      <c r="P4" s="1871" t="s">
        <v>188</v>
      </c>
      <c r="Q4" s="1470" t="s">
        <v>121</v>
      </c>
      <c r="R4" s="1881" t="s">
        <v>507</v>
      </c>
      <c r="S4" s="1882"/>
      <c r="T4" s="1926" t="s">
        <v>806</v>
      </c>
      <c r="U4" s="1928"/>
      <c r="V4" s="1871" t="s">
        <v>1953</v>
      </c>
      <c r="W4" s="1929" t="s">
        <v>2517</v>
      </c>
      <c r="X4" s="1871" t="s">
        <v>2516</v>
      </c>
      <c r="Y4" s="1871" t="s">
        <v>1677</v>
      </c>
      <c r="Z4" s="1921"/>
      <c r="AA4" s="1873" t="s">
        <v>189</v>
      </c>
      <c r="AB4" s="1873" t="s">
        <v>179</v>
      </c>
      <c r="AC4" s="1873" t="s">
        <v>178</v>
      </c>
      <c r="AD4" s="1873" t="s">
        <v>679</v>
      </c>
      <c r="AE4" s="1873" t="s">
        <v>1011</v>
      </c>
      <c r="AF4" s="1873" t="s">
        <v>180</v>
      </c>
      <c r="AG4" s="1873" t="s">
        <v>1012</v>
      </c>
      <c r="AH4" s="1873" t="s">
        <v>680</v>
      </c>
      <c r="AI4" s="1873" t="s">
        <v>1013</v>
      </c>
      <c r="AJ4" s="1873" t="s">
        <v>1014</v>
      </c>
      <c r="AK4" s="1873" t="s">
        <v>1015</v>
      </c>
      <c r="AL4" s="1873" t="s">
        <v>681</v>
      </c>
      <c r="AM4" s="1873" t="s">
        <v>682</v>
      </c>
      <c r="AN4" s="1916" t="s">
        <v>2009</v>
      </c>
      <c r="AO4" s="1873" t="s">
        <v>1016</v>
      </c>
      <c r="AP4" s="1873" t="s">
        <v>805</v>
      </c>
      <c r="AQ4" s="1918"/>
      <c r="AR4" s="1873" t="s">
        <v>1017</v>
      </c>
      <c r="AS4" s="1873" t="s">
        <v>1018</v>
      </c>
      <c r="AT4" s="1873" t="s">
        <v>1021</v>
      </c>
      <c r="AU4" s="1873" t="s">
        <v>1019</v>
      </c>
      <c r="AV4" s="1873" t="s">
        <v>23</v>
      </c>
      <c r="AW4" s="1873" t="s">
        <v>1079</v>
      </c>
      <c r="AX4" s="1873" t="s">
        <v>683</v>
      </c>
      <c r="AY4" s="1873" t="s">
        <v>2423</v>
      </c>
      <c r="AZ4" s="1873" t="s">
        <v>1402</v>
      </c>
      <c r="BA4" s="1877" t="s">
        <v>494</v>
      </c>
      <c r="BB4" s="1873"/>
      <c r="BC4" s="1873"/>
      <c r="BD4" s="1877" t="s">
        <v>127</v>
      </c>
      <c r="BE4" s="1877"/>
      <c r="BF4" s="1877" t="s">
        <v>128</v>
      </c>
      <c r="BG4" s="1877"/>
      <c r="BH4" s="1873" t="s">
        <v>1400</v>
      </c>
      <c r="BI4" s="1906"/>
      <c r="BJ4" s="1873" t="s">
        <v>133</v>
      </c>
      <c r="BK4" s="1873" t="s">
        <v>134</v>
      </c>
      <c r="BL4" s="1899" t="s">
        <v>183</v>
      </c>
      <c r="BM4" s="1871" t="s">
        <v>139</v>
      </c>
      <c r="BN4" s="1871" t="s">
        <v>1414</v>
      </c>
      <c r="BO4" s="1873"/>
      <c r="BP4" s="1899" t="s">
        <v>2099</v>
      </c>
      <c r="BQ4" s="1901"/>
      <c r="BR4" s="1901"/>
      <c r="BS4" s="1902"/>
      <c r="BT4" s="1897" t="s">
        <v>2116</v>
      </c>
      <c r="BU4" s="1888" t="s">
        <v>827</v>
      </c>
      <c r="BV4" s="1888" t="s">
        <v>2114</v>
      </c>
      <c r="BW4" s="1888" t="s">
        <v>2115</v>
      </c>
      <c r="BX4" s="1893" t="s">
        <v>1048</v>
      </c>
      <c r="BY4" s="1872" t="s">
        <v>135</v>
      </c>
      <c r="BZ4" s="1890" t="s">
        <v>2008</v>
      </c>
      <c r="CA4" s="1891"/>
      <c r="CB4" s="1892"/>
      <c r="CC4" s="1890" t="s">
        <v>1273</v>
      </c>
      <c r="CD4" s="1891"/>
      <c r="CE4" s="1892"/>
    </row>
    <row r="5" spans="1:83" s="236" customFormat="1" ht="45.6" customHeight="1">
      <c r="H5" s="178"/>
      <c r="I5" s="1906"/>
      <c r="J5" s="1873"/>
      <c r="K5" s="1873"/>
      <c r="L5" s="1872"/>
      <c r="M5" s="1872"/>
      <c r="N5" s="1924"/>
      <c r="O5" s="1872"/>
      <c r="P5" s="1872"/>
      <c r="Q5" s="1469" t="s">
        <v>588</v>
      </c>
      <c r="R5" s="1469" t="s">
        <v>1009</v>
      </c>
      <c r="S5" s="1469" t="s">
        <v>1010</v>
      </c>
      <c r="T5" s="1873"/>
      <c r="U5" s="1928"/>
      <c r="V5" s="1872"/>
      <c r="W5" s="1872"/>
      <c r="X5" s="1872"/>
      <c r="Y5" s="1872"/>
      <c r="Z5" s="1921"/>
      <c r="AA5" s="1873"/>
      <c r="AB5" s="1873"/>
      <c r="AC5" s="1873"/>
      <c r="AD5" s="1873"/>
      <c r="AE5" s="1873"/>
      <c r="AF5" s="1873"/>
      <c r="AG5" s="1873"/>
      <c r="AH5" s="1873"/>
      <c r="AI5" s="1873"/>
      <c r="AJ5" s="1873"/>
      <c r="AK5" s="1873"/>
      <c r="AL5" s="1873"/>
      <c r="AM5" s="1873"/>
      <c r="AN5" s="1916"/>
      <c r="AO5" s="1873"/>
      <c r="AP5" s="1873"/>
      <c r="AQ5" s="1918"/>
      <c r="AR5" s="1873"/>
      <c r="AS5" s="1873"/>
      <c r="AT5" s="1873"/>
      <c r="AU5" s="1873"/>
      <c r="AV5" s="1873"/>
      <c r="AW5" s="1873"/>
      <c r="AX5" s="1873"/>
      <c r="AY5" s="1873"/>
      <c r="AZ5" s="1873"/>
      <c r="BA5" s="1877"/>
      <c r="BB5" s="1873"/>
      <c r="BC5" s="1873"/>
      <c r="BD5" s="1471" t="s">
        <v>1401</v>
      </c>
      <c r="BE5" s="1468" t="s">
        <v>182</v>
      </c>
      <c r="BF5" s="1471" t="s">
        <v>129</v>
      </c>
      <c r="BG5" s="1468" t="s">
        <v>182</v>
      </c>
      <c r="BH5" s="1873"/>
      <c r="BI5" s="1906"/>
      <c r="BJ5" s="1873"/>
      <c r="BK5" s="1873"/>
      <c r="BL5" s="1899"/>
      <c r="BM5" s="1872"/>
      <c r="BN5" s="1872"/>
      <c r="BO5" s="1873"/>
      <c r="BP5" s="1476" t="s">
        <v>2100</v>
      </c>
      <c r="BQ5" s="1139" t="s">
        <v>142</v>
      </c>
      <c r="BR5" s="1476" t="s">
        <v>143</v>
      </c>
      <c r="BS5" s="1476" t="s">
        <v>885</v>
      </c>
      <c r="BT5" s="1898"/>
      <c r="BU5" s="1889"/>
      <c r="BV5" s="1889"/>
      <c r="BW5" s="1889"/>
      <c r="BX5" s="1888"/>
      <c r="BY5" s="1873"/>
      <c r="BZ5" s="1474" t="s">
        <v>136</v>
      </c>
      <c r="CA5" s="1475" t="s">
        <v>137</v>
      </c>
      <c r="CB5" s="1475" t="s">
        <v>2101</v>
      </c>
      <c r="CC5" s="1475" t="s">
        <v>136</v>
      </c>
      <c r="CD5" s="1475" t="s">
        <v>137</v>
      </c>
      <c r="CE5" s="1475" t="s">
        <v>2102</v>
      </c>
    </row>
    <row r="6" spans="1:83" s="138" customFormat="1" ht="13.5" customHeight="1">
      <c r="I6" s="1907"/>
      <c r="J6" s="137">
        <v>1</v>
      </c>
      <c r="K6" s="137">
        <v>2</v>
      </c>
      <c r="L6" s="137">
        <v>3</v>
      </c>
      <c r="M6" s="137">
        <v>4</v>
      </c>
      <c r="N6" s="137">
        <v>5</v>
      </c>
      <c r="O6" s="137">
        <v>6</v>
      </c>
      <c r="P6" s="137">
        <v>7</v>
      </c>
      <c r="Q6" s="137">
        <v>8</v>
      </c>
      <c r="R6" s="137">
        <v>9</v>
      </c>
      <c r="S6" s="137">
        <v>10</v>
      </c>
      <c r="T6" s="137">
        <v>11</v>
      </c>
      <c r="U6" s="137">
        <v>12</v>
      </c>
      <c r="V6" s="137">
        <v>13</v>
      </c>
      <c r="W6" s="137">
        <v>14</v>
      </c>
      <c r="X6" s="137">
        <v>15</v>
      </c>
      <c r="Y6" s="137">
        <v>16</v>
      </c>
      <c r="Z6" s="1921"/>
      <c r="AA6" s="137">
        <v>17</v>
      </c>
      <c r="AB6" s="137">
        <v>18</v>
      </c>
      <c r="AC6" s="137">
        <v>19</v>
      </c>
      <c r="AD6" s="137">
        <v>20</v>
      </c>
      <c r="AE6" s="137">
        <v>21</v>
      </c>
      <c r="AF6" s="137">
        <v>22</v>
      </c>
      <c r="AG6" s="137">
        <v>23</v>
      </c>
      <c r="AH6" s="137">
        <v>24</v>
      </c>
      <c r="AI6" s="137">
        <v>25</v>
      </c>
      <c r="AJ6" s="137">
        <v>26</v>
      </c>
      <c r="AK6" s="137">
        <v>27</v>
      </c>
      <c r="AL6" s="137">
        <v>28</v>
      </c>
      <c r="AM6" s="137">
        <v>29</v>
      </c>
      <c r="AN6" s="137">
        <v>30</v>
      </c>
      <c r="AO6" s="137">
        <v>31</v>
      </c>
      <c r="AP6" s="137">
        <v>32</v>
      </c>
      <c r="AQ6" s="1919"/>
      <c r="AR6" s="137">
        <v>33</v>
      </c>
      <c r="AS6" s="137">
        <v>34</v>
      </c>
      <c r="AT6" s="137">
        <v>35</v>
      </c>
      <c r="AU6" s="137">
        <v>36</v>
      </c>
      <c r="AV6" s="137">
        <v>37</v>
      </c>
      <c r="AW6" s="137">
        <v>38</v>
      </c>
      <c r="AX6" s="137">
        <v>39</v>
      </c>
      <c r="AY6" s="137">
        <v>40</v>
      </c>
      <c r="AZ6" s="137">
        <v>41</v>
      </c>
      <c r="BA6" s="137">
        <v>42</v>
      </c>
      <c r="BB6" s="137">
        <v>43</v>
      </c>
      <c r="BC6" s="137">
        <v>44</v>
      </c>
      <c r="BD6" s="137">
        <v>45</v>
      </c>
      <c r="BE6" s="137">
        <v>46</v>
      </c>
      <c r="BF6" s="137">
        <v>47</v>
      </c>
      <c r="BG6" s="137">
        <v>48</v>
      </c>
      <c r="BH6" s="137">
        <v>49</v>
      </c>
      <c r="BI6" s="1907"/>
      <c r="BJ6" s="1479">
        <v>50</v>
      </c>
      <c r="BK6" s="1479">
        <v>51</v>
      </c>
      <c r="BL6" s="1479">
        <v>52</v>
      </c>
      <c r="BM6" s="1479">
        <v>53</v>
      </c>
      <c r="BN6" s="1479">
        <v>54</v>
      </c>
      <c r="BO6" s="1479">
        <v>55</v>
      </c>
      <c r="BP6" s="1479">
        <v>56</v>
      </c>
      <c r="BQ6" s="1479">
        <v>57</v>
      </c>
      <c r="BR6" s="1479">
        <v>58</v>
      </c>
      <c r="BS6" s="1479">
        <v>59</v>
      </c>
      <c r="BT6" s="1479">
        <v>60</v>
      </c>
      <c r="BU6" s="1479">
        <v>61</v>
      </c>
      <c r="BV6" s="1479">
        <v>62</v>
      </c>
      <c r="BW6" s="1479">
        <v>63</v>
      </c>
      <c r="BX6" s="1479">
        <v>64</v>
      </c>
      <c r="BY6" s="1479">
        <v>65</v>
      </c>
      <c r="BZ6" s="1479">
        <v>66</v>
      </c>
      <c r="CA6" s="1479">
        <v>67</v>
      </c>
      <c r="CB6" s="137">
        <v>68</v>
      </c>
      <c r="CC6" s="1479">
        <v>69</v>
      </c>
      <c r="CD6" s="137">
        <v>70</v>
      </c>
      <c r="CE6" s="1479">
        <v>71</v>
      </c>
    </row>
    <row r="7" spans="1:83" s="28" customFormat="1" ht="11.1" customHeight="1">
      <c r="I7" s="244" t="s">
        <v>81</v>
      </c>
      <c r="J7" s="25">
        <v>49947.3</v>
      </c>
      <c r="K7" s="953">
        <v>518.1</v>
      </c>
      <c r="L7" s="27">
        <v>50465.4</v>
      </c>
      <c r="M7" s="953">
        <v>4308.3</v>
      </c>
      <c r="N7" s="27">
        <v>46157.1</v>
      </c>
      <c r="O7" s="25">
        <v>7971.5</v>
      </c>
      <c r="P7" s="953">
        <v>20181.099999999999</v>
      </c>
      <c r="Q7" s="953">
        <v>41621.800000000003</v>
      </c>
      <c r="R7" s="25">
        <v>275042.8</v>
      </c>
      <c r="S7" s="953">
        <v>316664.59999999998</v>
      </c>
      <c r="T7" s="25">
        <v>336845.69999999995</v>
      </c>
      <c r="U7" s="953">
        <v>209.4</v>
      </c>
      <c r="V7" s="953">
        <v>74142.799999999988</v>
      </c>
      <c r="W7" s="25">
        <v>87988.299999999988</v>
      </c>
      <c r="X7" s="25">
        <v>363031.1</v>
      </c>
      <c r="Y7" s="953">
        <v>429337.2</v>
      </c>
      <c r="Z7" s="244" t="s">
        <v>81</v>
      </c>
      <c r="AA7" s="27">
        <v>0</v>
      </c>
      <c r="AB7" s="25">
        <v>10726.3</v>
      </c>
      <c r="AC7" s="953">
        <v>253455.9</v>
      </c>
      <c r="AD7" s="953">
        <v>264182.2</v>
      </c>
      <c r="AE7" s="27">
        <v>0</v>
      </c>
      <c r="AF7" s="25">
        <v>3865.2</v>
      </c>
      <c r="AG7" s="953">
        <v>10202.4</v>
      </c>
      <c r="AH7" s="953">
        <v>14067.599999999999</v>
      </c>
      <c r="AI7" s="953">
        <v>2127.4</v>
      </c>
      <c r="AJ7" s="953">
        <v>51891.3</v>
      </c>
      <c r="AK7" s="25">
        <v>4513.7</v>
      </c>
      <c r="AL7" s="25">
        <v>56405</v>
      </c>
      <c r="AM7" s="25">
        <v>2127.4</v>
      </c>
      <c r="AN7" s="953">
        <v>66482.8</v>
      </c>
      <c r="AO7" s="25">
        <v>268172</v>
      </c>
      <c r="AP7" s="25">
        <v>334654.8</v>
      </c>
      <c r="AQ7" s="244" t="s">
        <v>81</v>
      </c>
      <c r="AR7" s="953">
        <v>1749.5</v>
      </c>
      <c r="AS7" s="25">
        <v>5852.1</v>
      </c>
      <c r="AT7" s="953">
        <v>5087.3</v>
      </c>
      <c r="AU7" s="953">
        <v>1561.7</v>
      </c>
      <c r="AV7" s="953">
        <v>336869.7</v>
      </c>
      <c r="AW7" s="953">
        <v>3885.6</v>
      </c>
      <c r="AX7" s="953">
        <v>340755.3</v>
      </c>
      <c r="AY7" s="25">
        <f>AX7*0.055</f>
        <v>18741.541499999999</v>
      </c>
      <c r="AZ7" s="232">
        <f t="shared" ref="AZ7" si="0">BA7-AY7</f>
        <v>4726.4585000000006</v>
      </c>
      <c r="BA7" s="25">
        <v>23468</v>
      </c>
      <c r="BB7" s="953">
        <v>863330.4</v>
      </c>
      <c r="BC7" s="27">
        <v>81350</v>
      </c>
      <c r="BD7" s="25">
        <v>5.0999999999999996</v>
      </c>
      <c r="BE7" s="953">
        <v>21788.2</v>
      </c>
      <c r="BF7" s="953">
        <v>3141.2</v>
      </c>
      <c r="BG7" s="953">
        <v>49111.5</v>
      </c>
      <c r="BH7" s="25">
        <v>74046</v>
      </c>
      <c r="BI7" s="244" t="s">
        <v>81</v>
      </c>
      <c r="BJ7" s="245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7">
        <v>3394</v>
      </c>
      <c r="BQ7" s="28">
        <v>1366</v>
      </c>
      <c r="BR7" s="28">
        <v>2427</v>
      </c>
      <c r="BS7" s="1137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480">
        <v>11.31</v>
      </c>
      <c r="CB7" s="26">
        <f t="shared" ref="CB7:CB10" si="1">CA7-BZ7</f>
        <v>5.3000000000000007</v>
      </c>
      <c r="CC7" s="232" t="s">
        <v>298</v>
      </c>
      <c r="CD7" s="234" t="s">
        <v>298</v>
      </c>
      <c r="CE7" s="18" t="s">
        <v>298</v>
      </c>
    </row>
    <row r="8" spans="1:83" s="953" customFormat="1" ht="11.1" customHeight="1">
      <c r="I8" s="312" t="s">
        <v>192</v>
      </c>
      <c r="J8" s="308">
        <v>59915.5</v>
      </c>
      <c r="K8" s="308">
        <v>611.4</v>
      </c>
      <c r="L8" s="314">
        <v>60526.9</v>
      </c>
      <c r="M8" s="308">
        <v>5731.8</v>
      </c>
      <c r="N8" s="314">
        <v>54795.1</v>
      </c>
      <c r="O8" s="308">
        <v>9482</v>
      </c>
      <c r="P8" s="308">
        <v>24919.8</v>
      </c>
      <c r="Q8" s="308">
        <v>48106.2</v>
      </c>
      <c r="R8" s="308">
        <v>337418.9</v>
      </c>
      <c r="S8" s="313">
        <v>385525.10000000003</v>
      </c>
      <c r="T8" s="308">
        <v>410444.9</v>
      </c>
      <c r="U8" s="308">
        <v>199.8</v>
      </c>
      <c r="V8" s="308">
        <v>89734.400000000009</v>
      </c>
      <c r="W8" s="308">
        <v>103101.09999999999</v>
      </c>
      <c r="X8" s="308">
        <v>440520</v>
      </c>
      <c r="Y8" s="308">
        <v>510456.39999999997</v>
      </c>
      <c r="Z8" s="312" t="s">
        <v>192</v>
      </c>
      <c r="AA8" s="308">
        <v>0</v>
      </c>
      <c r="AB8" s="308">
        <v>13830.7</v>
      </c>
      <c r="AC8" s="308">
        <v>312803.5</v>
      </c>
      <c r="AD8" s="308">
        <v>326634.2</v>
      </c>
      <c r="AE8" s="308">
        <v>0</v>
      </c>
      <c r="AF8" s="308">
        <v>4371.8999999999996</v>
      </c>
      <c r="AG8" s="308">
        <v>16670.400000000001</v>
      </c>
      <c r="AH8" s="308">
        <v>21042.300000000003</v>
      </c>
      <c r="AI8" s="308">
        <v>3080.3</v>
      </c>
      <c r="AJ8" s="308">
        <v>66704</v>
      </c>
      <c r="AK8" s="308">
        <v>8095.2</v>
      </c>
      <c r="AL8" s="308">
        <v>74799.199999999997</v>
      </c>
      <c r="AM8" s="308">
        <v>3080.3</v>
      </c>
      <c r="AN8" s="308">
        <v>84906.6</v>
      </c>
      <c r="AO8" s="308">
        <v>337569.10000000003</v>
      </c>
      <c r="AP8" s="308">
        <v>422475.7</v>
      </c>
      <c r="AQ8" s="312" t="s">
        <v>192</v>
      </c>
      <c r="AR8" s="308">
        <v>1959.3</v>
      </c>
      <c r="AS8" s="308">
        <v>17833.400000000001</v>
      </c>
      <c r="AT8" s="308">
        <v>3960.3</v>
      </c>
      <c r="AU8" s="308">
        <v>2329.1999999999998</v>
      </c>
      <c r="AV8" s="308">
        <v>410470.7</v>
      </c>
      <c r="AW8" s="308">
        <v>5461.7</v>
      </c>
      <c r="AX8" s="308">
        <v>415932.4</v>
      </c>
      <c r="AY8" s="308">
        <v>24955.944</v>
      </c>
      <c r="AZ8" s="303">
        <v>4051.7560000000012</v>
      </c>
      <c r="BA8" s="314">
        <v>29007.7</v>
      </c>
      <c r="BB8" s="308">
        <v>1087850.3</v>
      </c>
      <c r="BC8" s="314">
        <v>89534.6</v>
      </c>
      <c r="BD8" s="308">
        <v>10732.9</v>
      </c>
      <c r="BE8" s="308">
        <v>20625.2</v>
      </c>
      <c r="BF8" s="308">
        <v>2591</v>
      </c>
      <c r="BG8" s="308">
        <v>63715.1</v>
      </c>
      <c r="BH8" s="308">
        <v>97664.2</v>
      </c>
      <c r="BI8" s="312" t="s">
        <v>192</v>
      </c>
      <c r="BJ8" s="315">
        <v>34.89</v>
      </c>
      <c r="BK8" s="315">
        <v>28.72</v>
      </c>
      <c r="BL8" s="315">
        <v>25.84</v>
      </c>
      <c r="BM8" s="315">
        <v>27.41</v>
      </c>
      <c r="BN8" s="315">
        <v>21.34</v>
      </c>
      <c r="BO8" s="315">
        <v>2.08</v>
      </c>
      <c r="BP8" s="316">
        <v>3414</v>
      </c>
      <c r="BQ8" s="313">
        <v>1388</v>
      </c>
      <c r="BR8" s="313">
        <v>2847</v>
      </c>
      <c r="BS8" s="316">
        <v>63</v>
      </c>
      <c r="BT8" s="316">
        <v>7712</v>
      </c>
      <c r="BU8" s="315">
        <v>102.92469109244581</v>
      </c>
      <c r="BV8" s="315">
        <v>53.224935165975104</v>
      </c>
      <c r="BW8" s="315">
        <v>54.781600103734441</v>
      </c>
      <c r="BX8" s="315">
        <v>8.4633324619759698</v>
      </c>
      <c r="BY8" s="315">
        <v>5</v>
      </c>
      <c r="BZ8" s="315">
        <v>7.27</v>
      </c>
      <c r="CA8" s="315">
        <v>12.42</v>
      </c>
      <c r="CB8" s="307">
        <f t="shared" si="1"/>
        <v>5.15</v>
      </c>
      <c r="CC8" s="303" t="s">
        <v>298</v>
      </c>
      <c r="CD8" s="513" t="s">
        <v>298</v>
      </c>
      <c r="CE8" s="514" t="s">
        <v>298</v>
      </c>
    </row>
    <row r="9" spans="1:83" s="29" customFormat="1" ht="11.1" customHeight="1">
      <c r="I9" s="523" t="s">
        <v>888</v>
      </c>
      <c r="J9" s="56">
        <v>64200.7</v>
      </c>
      <c r="K9" s="56">
        <v>695.8</v>
      </c>
      <c r="L9" s="246">
        <v>64896.5</v>
      </c>
      <c r="M9" s="56">
        <v>6479.4</v>
      </c>
      <c r="N9" s="246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23" t="s">
        <v>888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23" t="s">
        <v>888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38">
        <v>2831.4819999999963</v>
      </c>
      <c r="BA9" s="246">
        <v>32662.3</v>
      </c>
      <c r="BB9" s="56">
        <v>1296703.2</v>
      </c>
      <c r="BC9" s="246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23" t="s">
        <v>888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7">
        <v>3449</v>
      </c>
      <c r="BQ9" s="29">
        <v>1417</v>
      </c>
      <c r="BR9" s="29">
        <v>3130</v>
      </c>
      <c r="BS9" s="147">
        <v>63</v>
      </c>
      <c r="BT9" s="147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38" t="s">
        <v>298</v>
      </c>
      <c r="CD9" s="524" t="s">
        <v>298</v>
      </c>
      <c r="CE9" s="236" t="s">
        <v>298</v>
      </c>
    </row>
    <row r="10" spans="1:83" s="29" customFormat="1" ht="11.1" customHeight="1">
      <c r="I10" s="312" t="s">
        <v>866</v>
      </c>
      <c r="J10" s="308">
        <v>74633.600000000006</v>
      </c>
      <c r="K10" s="308">
        <v>738.7</v>
      </c>
      <c r="L10" s="314">
        <v>75372.3</v>
      </c>
      <c r="M10" s="308">
        <v>7819.4</v>
      </c>
      <c r="N10" s="314">
        <v>67552.899999999994</v>
      </c>
      <c r="O10" s="308">
        <v>16749.2</v>
      </c>
      <c r="P10" s="308">
        <v>37251.699999999997</v>
      </c>
      <c r="Q10" s="308">
        <v>55736.5</v>
      </c>
      <c r="R10" s="308">
        <v>479902.3</v>
      </c>
      <c r="S10" s="313">
        <v>535638.80000000005</v>
      </c>
      <c r="T10" s="308">
        <v>572890.5</v>
      </c>
      <c r="U10" s="308">
        <v>313.7</v>
      </c>
      <c r="V10" s="308">
        <v>112489.39999999998</v>
      </c>
      <c r="W10" s="308">
        <v>123603.09999999999</v>
      </c>
      <c r="X10" s="308">
        <v>603505.4</v>
      </c>
      <c r="Y10" s="308">
        <v>680182.9</v>
      </c>
      <c r="Z10" s="312" t="s">
        <v>866</v>
      </c>
      <c r="AA10" s="308">
        <v>0</v>
      </c>
      <c r="AB10" s="308">
        <v>10424.6</v>
      </c>
      <c r="AC10" s="308">
        <v>417890.5</v>
      </c>
      <c r="AD10" s="308">
        <v>428315.1</v>
      </c>
      <c r="AE10" s="308">
        <v>0</v>
      </c>
      <c r="AF10" s="308">
        <v>939.6</v>
      </c>
      <c r="AG10" s="308">
        <v>18961.2</v>
      </c>
      <c r="AH10" s="308">
        <v>19900.8</v>
      </c>
      <c r="AI10" s="308">
        <v>6677.8</v>
      </c>
      <c r="AJ10" s="308">
        <v>123736.6</v>
      </c>
      <c r="AK10" s="308">
        <v>11125.2</v>
      </c>
      <c r="AL10" s="308">
        <v>134861.80000000002</v>
      </c>
      <c r="AM10" s="308">
        <v>6677.8</v>
      </c>
      <c r="AN10" s="308">
        <v>135100.80000000002</v>
      </c>
      <c r="AO10" s="308">
        <v>447976.9</v>
      </c>
      <c r="AP10" s="308">
        <v>583077.69999999995</v>
      </c>
      <c r="AQ10" s="312" t="s">
        <v>866</v>
      </c>
      <c r="AR10" s="308">
        <v>9784.5</v>
      </c>
      <c r="AS10" s="308">
        <v>9441.9</v>
      </c>
      <c r="AT10" s="308">
        <v>9640.7999999999993</v>
      </c>
      <c r="AU10" s="308">
        <v>147</v>
      </c>
      <c r="AV10" s="308">
        <v>572957.5</v>
      </c>
      <c r="AW10" s="308">
        <v>6509</v>
      </c>
      <c r="AX10" s="308">
        <v>579466.5</v>
      </c>
      <c r="AY10" s="308">
        <v>34767.99</v>
      </c>
      <c r="AZ10" s="303">
        <v>2035.4100000000035</v>
      </c>
      <c r="BA10" s="314">
        <v>36803.4</v>
      </c>
      <c r="BB10" s="308">
        <v>1462258.7</v>
      </c>
      <c r="BC10" s="314">
        <v>112175.70000000001</v>
      </c>
      <c r="BD10" s="308">
        <v>9204.5</v>
      </c>
      <c r="BE10" s="308">
        <v>21263.200000000001</v>
      </c>
      <c r="BF10" s="308">
        <v>3720.1000000000004</v>
      </c>
      <c r="BG10" s="308">
        <v>123280</v>
      </c>
      <c r="BH10" s="308">
        <v>157467.79999999999</v>
      </c>
      <c r="BI10" s="312" t="s">
        <v>866</v>
      </c>
      <c r="BJ10" s="315">
        <v>19.91</v>
      </c>
      <c r="BK10" s="315">
        <v>9.06</v>
      </c>
      <c r="BL10" s="315">
        <v>10.85</v>
      </c>
      <c r="BM10" s="315">
        <v>12.4</v>
      </c>
      <c r="BN10" s="315">
        <v>16.71</v>
      </c>
      <c r="BO10" s="315">
        <v>1.99</v>
      </c>
      <c r="BP10" s="316">
        <v>3499</v>
      </c>
      <c r="BQ10" s="313">
        <v>1476</v>
      </c>
      <c r="BR10" s="313">
        <v>3386</v>
      </c>
      <c r="BS10" s="316">
        <v>66</v>
      </c>
      <c r="BT10" s="316">
        <v>8427</v>
      </c>
      <c r="BU10" s="315">
        <v>101.76630901942988</v>
      </c>
      <c r="BV10" s="315">
        <v>67.990684703927855</v>
      </c>
      <c r="BW10" s="315">
        <v>69.191610300225463</v>
      </c>
      <c r="BX10" s="315">
        <v>7.7881518262698375</v>
      </c>
      <c r="BY10" s="315">
        <v>5</v>
      </c>
      <c r="BZ10" s="315">
        <v>8.5399999999999991</v>
      </c>
      <c r="CA10" s="315">
        <v>13.67</v>
      </c>
      <c r="CB10" s="307">
        <f t="shared" si="1"/>
        <v>5.1300000000000008</v>
      </c>
      <c r="CC10" s="305">
        <v>14.21</v>
      </c>
      <c r="CD10" s="307">
        <v>17.440000000000001</v>
      </c>
      <c r="CE10" s="307">
        <f>CD10-CC10</f>
        <v>3.2300000000000004</v>
      </c>
    </row>
    <row r="11" spans="1:83" s="267" customFormat="1" ht="11.1" customHeight="1">
      <c r="I11" s="237" t="s">
        <v>1051</v>
      </c>
      <c r="J11" s="239">
        <v>84714.1</v>
      </c>
      <c r="K11" s="239">
        <v>771.1</v>
      </c>
      <c r="L11" s="239">
        <v>85485.200000000012</v>
      </c>
      <c r="M11" s="239">
        <v>8576.7999999999993</v>
      </c>
      <c r="N11" s="239">
        <v>76908.400000000009</v>
      </c>
      <c r="O11" s="239">
        <v>14653.7</v>
      </c>
      <c r="P11" s="239">
        <v>39217.699999999997</v>
      </c>
      <c r="Q11" s="239">
        <v>64344.3</v>
      </c>
      <c r="R11" s="239">
        <v>558978.4</v>
      </c>
      <c r="S11" s="239">
        <v>623322.70000000007</v>
      </c>
      <c r="T11" s="239">
        <v>662540.4</v>
      </c>
      <c r="U11" s="239">
        <v>392.4</v>
      </c>
      <c r="V11" s="239">
        <v>129875.29999999999</v>
      </c>
      <c r="W11" s="239">
        <v>141645.1</v>
      </c>
      <c r="X11" s="239">
        <v>700623.5</v>
      </c>
      <c r="Y11" s="239">
        <v>792445.3</v>
      </c>
      <c r="Z11" s="237" t="s">
        <v>1051</v>
      </c>
      <c r="AA11" s="239">
        <v>0</v>
      </c>
      <c r="AB11" s="239">
        <v>12682.9</v>
      </c>
      <c r="AC11" s="239">
        <v>472716.79999999999</v>
      </c>
      <c r="AD11" s="239">
        <v>485399.7</v>
      </c>
      <c r="AE11" s="239">
        <v>0</v>
      </c>
      <c r="AF11" s="239">
        <v>1119.4000000000001</v>
      </c>
      <c r="AG11" s="239">
        <v>18229.8</v>
      </c>
      <c r="AH11" s="239">
        <v>19349.2</v>
      </c>
      <c r="AI11" s="239">
        <v>7694</v>
      </c>
      <c r="AJ11" s="239">
        <v>152996.79999999999</v>
      </c>
      <c r="AK11" s="239">
        <v>12420.6</v>
      </c>
      <c r="AL11" s="239">
        <v>165417.4</v>
      </c>
      <c r="AM11" s="239">
        <v>7694</v>
      </c>
      <c r="AN11" s="239">
        <v>166799.09999999998</v>
      </c>
      <c r="AO11" s="239">
        <v>503367.19999999995</v>
      </c>
      <c r="AP11" s="239">
        <v>670166.30000000005</v>
      </c>
      <c r="AQ11" s="237" t="s">
        <v>1051</v>
      </c>
      <c r="AR11" s="239">
        <v>5706.9</v>
      </c>
      <c r="AS11" s="239">
        <v>5526.6</v>
      </c>
      <c r="AT11" s="239">
        <v>9945.7000000000007</v>
      </c>
      <c r="AU11" s="239">
        <v>26.2</v>
      </c>
      <c r="AV11" s="239">
        <v>662559.30000000005</v>
      </c>
      <c r="AW11" s="239">
        <v>6612.1</v>
      </c>
      <c r="AX11" s="239">
        <v>669171.4</v>
      </c>
      <c r="AY11" s="239">
        <v>43496.141000000003</v>
      </c>
      <c r="AZ11" s="239">
        <v>501.55899999999383</v>
      </c>
      <c r="BA11" s="239">
        <v>43997.7</v>
      </c>
      <c r="BB11" s="239">
        <v>1689948.5</v>
      </c>
      <c r="BC11" s="239">
        <v>129482.90000000001</v>
      </c>
      <c r="BD11" s="239">
        <v>78.099999999999994</v>
      </c>
      <c r="BE11" s="239">
        <v>16886.2</v>
      </c>
      <c r="BF11" s="239">
        <v>2769.5</v>
      </c>
      <c r="BG11" s="239">
        <v>152495.40000000002</v>
      </c>
      <c r="BH11" s="239">
        <v>172229.2</v>
      </c>
      <c r="BI11" s="237" t="s">
        <v>1051</v>
      </c>
      <c r="BJ11" s="268">
        <v>6.72</v>
      </c>
      <c r="BK11" s="268">
        <v>34.71</v>
      </c>
      <c r="BL11" s="268">
        <v>12.27</v>
      </c>
      <c r="BM11" s="268">
        <v>11.57</v>
      </c>
      <c r="BN11" s="268">
        <v>15.46</v>
      </c>
      <c r="BO11" s="30">
        <v>1.92</v>
      </c>
      <c r="BP11" s="397">
        <v>3536</v>
      </c>
      <c r="BQ11" s="267">
        <v>1496</v>
      </c>
      <c r="BR11" s="267">
        <v>3692</v>
      </c>
      <c r="BS11" s="397">
        <v>70</v>
      </c>
      <c r="BT11" s="397">
        <v>8794</v>
      </c>
      <c r="BU11" s="268">
        <v>101.14812364719657</v>
      </c>
      <c r="BV11" s="268">
        <v>75.342199226745507</v>
      </c>
      <c r="BW11" s="268">
        <v>76.20722083238573</v>
      </c>
      <c r="BX11" s="268">
        <v>7.9350633218792641</v>
      </c>
      <c r="BY11" s="268">
        <v>5</v>
      </c>
      <c r="BZ11" s="268">
        <v>7.79</v>
      </c>
      <c r="CA11" s="268">
        <v>13.1</v>
      </c>
      <c r="CB11" s="268">
        <v>5.31</v>
      </c>
      <c r="CC11" s="268">
        <v>12.52</v>
      </c>
      <c r="CD11" s="268">
        <v>16.899999999999999</v>
      </c>
      <c r="CE11" s="268">
        <v>4.38</v>
      </c>
    </row>
    <row r="12" spans="1:83" s="267" customFormat="1" ht="11.1" customHeight="1">
      <c r="I12" s="302" t="s">
        <v>1105</v>
      </c>
      <c r="J12" s="478">
        <v>97361.5</v>
      </c>
      <c r="K12" s="478">
        <v>792.4</v>
      </c>
      <c r="L12" s="478">
        <v>98153.9</v>
      </c>
      <c r="M12" s="478">
        <v>10213.1</v>
      </c>
      <c r="N12" s="478">
        <v>87940.799999999988</v>
      </c>
      <c r="O12" s="478">
        <v>13317.8</v>
      </c>
      <c r="P12" s="478">
        <v>47116.6</v>
      </c>
      <c r="Q12" s="478">
        <v>72383.7</v>
      </c>
      <c r="R12" s="478">
        <v>626799.9</v>
      </c>
      <c r="S12" s="478">
        <v>699183.6</v>
      </c>
      <c r="T12" s="478">
        <v>746300.2</v>
      </c>
      <c r="U12" s="478">
        <v>489.7</v>
      </c>
      <c r="V12" s="478">
        <v>148482.50000000003</v>
      </c>
      <c r="W12" s="478">
        <v>160814.20000000001</v>
      </c>
      <c r="X12" s="478">
        <v>787614.10000000009</v>
      </c>
      <c r="Y12" s="478">
        <v>910049</v>
      </c>
      <c r="Z12" s="302" t="s">
        <v>1105</v>
      </c>
      <c r="AA12" s="304">
        <v>0</v>
      </c>
      <c r="AB12" s="304">
        <v>15343.1</v>
      </c>
      <c r="AC12" s="304">
        <v>537605.1</v>
      </c>
      <c r="AD12" s="304">
        <v>552948.19999999995</v>
      </c>
      <c r="AE12" s="304">
        <v>0</v>
      </c>
      <c r="AF12" s="304">
        <v>1250.4000000000001</v>
      </c>
      <c r="AG12" s="304">
        <v>18779.3</v>
      </c>
      <c r="AH12" s="304">
        <v>20029.7</v>
      </c>
      <c r="AI12" s="304">
        <v>7130.6</v>
      </c>
      <c r="AJ12" s="304">
        <v>157018.4</v>
      </c>
      <c r="AK12" s="304">
        <v>13569.3</v>
      </c>
      <c r="AL12" s="304">
        <v>170587.69999999998</v>
      </c>
      <c r="AM12" s="304">
        <v>7130.6</v>
      </c>
      <c r="AN12" s="304">
        <v>173611.9</v>
      </c>
      <c r="AO12" s="304">
        <v>569953.70000000007</v>
      </c>
      <c r="AP12" s="304">
        <v>743565.59999999986</v>
      </c>
      <c r="AQ12" s="302" t="s">
        <v>1105</v>
      </c>
      <c r="AR12" s="478">
        <v>5604.1</v>
      </c>
      <c r="AS12" s="478">
        <v>4823.6000000000004</v>
      </c>
      <c r="AT12" s="478">
        <v>7890.2</v>
      </c>
      <c r="AU12" s="478">
        <v>217.9</v>
      </c>
      <c r="AV12" s="478">
        <v>746329.9</v>
      </c>
      <c r="AW12" s="478">
        <v>6653.4</v>
      </c>
      <c r="AX12" s="478">
        <v>752983.3</v>
      </c>
      <c r="AY12" s="478">
        <v>48943.914500000006</v>
      </c>
      <c r="AZ12" s="478">
        <v>894.98549999999523</v>
      </c>
      <c r="BA12" s="478">
        <v>49838.9</v>
      </c>
      <c r="BB12" s="478">
        <v>1962638.4</v>
      </c>
      <c r="BC12" s="478">
        <v>147992.79999999999</v>
      </c>
      <c r="BD12" s="478">
        <v>2435.4</v>
      </c>
      <c r="BE12" s="478">
        <v>8796.4</v>
      </c>
      <c r="BF12" s="478">
        <v>3334.2</v>
      </c>
      <c r="BG12" s="478">
        <v>155768.70000000001</v>
      </c>
      <c r="BH12" s="478">
        <v>170334.7</v>
      </c>
      <c r="BI12" s="302" t="s">
        <v>1105</v>
      </c>
      <c r="BJ12" s="310">
        <v>-6.19</v>
      </c>
      <c r="BK12" s="310">
        <v>34.71</v>
      </c>
      <c r="BL12" s="310">
        <v>12.27</v>
      </c>
      <c r="BM12" s="310">
        <v>11.57</v>
      </c>
      <c r="BN12" s="310">
        <v>16.09</v>
      </c>
      <c r="BO12" s="315">
        <v>1.92</v>
      </c>
      <c r="BP12" s="311">
        <v>3669</v>
      </c>
      <c r="BQ12" s="309">
        <v>1405</v>
      </c>
      <c r="BR12" s="309">
        <v>3982</v>
      </c>
      <c r="BS12" s="311">
        <v>75</v>
      </c>
      <c r="BT12" s="311">
        <v>9131</v>
      </c>
      <c r="BU12" s="310">
        <v>99.629614196081363</v>
      </c>
      <c r="BV12" s="310">
        <v>81.735833972182675</v>
      </c>
      <c r="BW12" s="310">
        <v>81.43309604643521</v>
      </c>
      <c r="BX12" s="310">
        <v>8.0463076717146134</v>
      </c>
      <c r="BY12" s="310">
        <v>5</v>
      </c>
      <c r="BZ12" s="310">
        <v>6.8</v>
      </c>
      <c r="CA12" s="310">
        <v>11.67</v>
      </c>
      <c r="CB12" s="310">
        <v>4.87</v>
      </c>
      <c r="CC12" s="310">
        <v>10.61</v>
      </c>
      <c r="CD12" s="310">
        <v>15.12</v>
      </c>
      <c r="CE12" s="310">
        <v>4.51</v>
      </c>
    </row>
    <row r="13" spans="1:83" s="267" customFormat="1" ht="11.1" customHeight="1">
      <c r="C13" s="1911" t="s">
        <v>1538</v>
      </c>
      <c r="D13" s="1911"/>
      <c r="E13" s="1911"/>
      <c r="F13" s="1911"/>
      <c r="G13" s="1911"/>
      <c r="I13" s="237" t="s">
        <v>1231</v>
      </c>
      <c r="J13" s="483">
        <v>130728.7</v>
      </c>
      <c r="K13" s="483">
        <v>1576.5</v>
      </c>
      <c r="L13" s="483">
        <v>132305.20000000001</v>
      </c>
      <c r="M13" s="483">
        <v>10230.700000000001</v>
      </c>
      <c r="N13" s="483">
        <v>122074.50000000001</v>
      </c>
      <c r="O13" s="483">
        <v>17126.2</v>
      </c>
      <c r="P13" s="483">
        <v>55874.7</v>
      </c>
      <c r="Q13" s="483">
        <v>89759.1</v>
      </c>
      <c r="R13" s="483">
        <v>703947.2</v>
      </c>
      <c r="S13" s="483">
        <v>793706.29999999993</v>
      </c>
      <c r="T13" s="483">
        <v>849580.99999999988</v>
      </c>
      <c r="U13" s="483">
        <v>597.1</v>
      </c>
      <c r="V13" s="483">
        <v>193201.30000000002</v>
      </c>
      <c r="W13" s="483">
        <v>212430.70000000004</v>
      </c>
      <c r="X13" s="483">
        <v>916377.9</v>
      </c>
      <c r="Y13" s="485">
        <v>1076743.2</v>
      </c>
      <c r="Z13" s="237" t="s">
        <v>1231</v>
      </c>
      <c r="AA13" s="483">
        <v>0</v>
      </c>
      <c r="AB13" s="483">
        <v>14977.5</v>
      </c>
      <c r="AC13" s="483">
        <v>627918.19999999995</v>
      </c>
      <c r="AD13" s="483">
        <v>642895.69999999995</v>
      </c>
      <c r="AE13" s="483">
        <v>0</v>
      </c>
      <c r="AF13" s="483">
        <v>1589</v>
      </c>
      <c r="AG13" s="483">
        <v>22461</v>
      </c>
      <c r="AH13" s="483">
        <v>24050</v>
      </c>
      <c r="AI13" s="483">
        <v>8613</v>
      </c>
      <c r="AJ13" s="483">
        <v>157964.29999999999</v>
      </c>
      <c r="AK13" s="483">
        <v>15663.2</v>
      </c>
      <c r="AL13" s="483">
        <v>173627.5</v>
      </c>
      <c r="AM13" s="483">
        <v>8613</v>
      </c>
      <c r="AN13" s="483">
        <v>174530.8</v>
      </c>
      <c r="AO13" s="483">
        <v>666042.39999999991</v>
      </c>
      <c r="AP13" s="483">
        <v>840573.2</v>
      </c>
      <c r="AQ13" s="237" t="s">
        <v>1231</v>
      </c>
      <c r="AR13" s="483">
        <v>5436.7</v>
      </c>
      <c r="AS13" s="483">
        <v>18388.400000000001</v>
      </c>
      <c r="AT13" s="483">
        <v>12975.5</v>
      </c>
      <c r="AU13" s="483">
        <v>50.7</v>
      </c>
      <c r="AV13" s="483">
        <v>849617.20000000007</v>
      </c>
      <c r="AW13" s="483">
        <v>6908.3</v>
      </c>
      <c r="AX13" s="483">
        <v>856525.50000000012</v>
      </c>
      <c r="AY13" s="483">
        <v>55674.157500000001</v>
      </c>
      <c r="AZ13" s="483">
        <v>4624.8424999999916</v>
      </c>
      <c r="BA13" s="483">
        <v>60299</v>
      </c>
      <c r="BB13" s="483">
        <v>2370730.1</v>
      </c>
      <c r="BC13" s="483">
        <v>192604.2</v>
      </c>
      <c r="BD13" s="483">
        <v>4000</v>
      </c>
      <c r="BE13" s="483">
        <v>15984.8</v>
      </c>
      <c r="BF13" s="483">
        <v>3911.6</v>
      </c>
      <c r="BG13" s="483">
        <v>156583.5</v>
      </c>
      <c r="BH13" s="483">
        <v>180479.9</v>
      </c>
      <c r="BI13" s="237" t="s">
        <v>1231</v>
      </c>
      <c r="BJ13" s="576">
        <v>3.59</v>
      </c>
      <c r="BK13" s="576">
        <v>-3.71</v>
      </c>
      <c r="BL13" s="576">
        <v>16.78</v>
      </c>
      <c r="BM13" s="576">
        <v>14.22</v>
      </c>
      <c r="BN13" s="576">
        <v>16.350000000000001</v>
      </c>
      <c r="BO13" s="268">
        <v>2.2652458407438507</v>
      </c>
      <c r="BP13" s="397">
        <v>3700</v>
      </c>
      <c r="BQ13" s="267">
        <v>1407</v>
      </c>
      <c r="BR13" s="267">
        <v>4271</v>
      </c>
      <c r="BS13" s="830">
        <v>75</v>
      </c>
      <c r="BT13" s="830">
        <v>9453</v>
      </c>
      <c r="BU13" s="576">
        <v>98.935520608575231</v>
      </c>
      <c r="BV13" s="576">
        <v>89.878049296519634</v>
      </c>
      <c r="BW13" s="576">
        <v>88.921315984343593</v>
      </c>
      <c r="BX13" s="576">
        <v>8.3013503022302277</v>
      </c>
      <c r="BY13" s="576">
        <v>5</v>
      </c>
      <c r="BZ13" s="576">
        <v>5.54</v>
      </c>
      <c r="CA13" s="576">
        <v>10.39</v>
      </c>
      <c r="CB13" s="576">
        <v>4.8500000000000005</v>
      </c>
      <c r="CC13" s="576">
        <v>8.9499999999999993</v>
      </c>
      <c r="CD13" s="576">
        <v>13.07</v>
      </c>
      <c r="CE13" s="576">
        <v>4.120000000000001</v>
      </c>
    </row>
    <row r="14" spans="1:83" s="267" customFormat="1" ht="11.1" customHeight="1">
      <c r="C14" s="1911"/>
      <c r="D14" s="1911"/>
      <c r="E14" s="1911"/>
      <c r="F14" s="1911"/>
      <c r="G14" s="1911"/>
      <c r="I14" s="302" t="s">
        <v>1263</v>
      </c>
      <c r="J14" s="478">
        <v>149724.70000000001</v>
      </c>
      <c r="K14" s="478">
        <v>1540.5</v>
      </c>
      <c r="L14" s="478">
        <v>151265.20000000001</v>
      </c>
      <c r="M14" s="478">
        <v>13733.4</v>
      </c>
      <c r="N14" s="478">
        <v>137531.80000000002</v>
      </c>
      <c r="O14" s="478">
        <v>22096.9</v>
      </c>
      <c r="P14" s="478">
        <v>64651.3</v>
      </c>
      <c r="Q14" s="478">
        <v>101885.2</v>
      </c>
      <c r="R14" s="478">
        <v>775997.6</v>
      </c>
      <c r="S14" s="478">
        <v>877882.79999999993</v>
      </c>
      <c r="T14" s="478">
        <v>942534.1</v>
      </c>
      <c r="U14" s="478">
        <v>661.5</v>
      </c>
      <c r="V14" s="478">
        <v>224659.39999999997</v>
      </c>
      <c r="W14" s="478">
        <v>240078.5</v>
      </c>
      <c r="X14" s="478">
        <v>1016076.1</v>
      </c>
      <c r="Y14" s="459">
        <v>1233465.5</v>
      </c>
      <c r="Z14" s="302" t="s">
        <v>1263</v>
      </c>
      <c r="AA14" s="478">
        <v>0</v>
      </c>
      <c r="AB14" s="478">
        <v>15533.2</v>
      </c>
      <c r="AC14" s="478">
        <v>728117</v>
      </c>
      <c r="AD14" s="478">
        <v>743650.2</v>
      </c>
      <c r="AE14" s="478">
        <v>0</v>
      </c>
      <c r="AF14" s="478">
        <v>1726.2</v>
      </c>
      <c r="AG14" s="478">
        <v>27218.5</v>
      </c>
      <c r="AH14" s="478">
        <v>28944.7</v>
      </c>
      <c r="AI14" s="478">
        <v>14073.4</v>
      </c>
      <c r="AJ14" s="478">
        <v>152329.70000000001</v>
      </c>
      <c r="AK14" s="478">
        <v>15744.2</v>
      </c>
      <c r="AL14" s="478">
        <v>168073.90000000002</v>
      </c>
      <c r="AM14" s="478">
        <v>14073.4</v>
      </c>
      <c r="AN14" s="478">
        <v>169589.1</v>
      </c>
      <c r="AO14" s="478">
        <v>771079.7</v>
      </c>
      <c r="AP14" s="478">
        <v>940668.79999999993</v>
      </c>
      <c r="AQ14" s="302" t="s">
        <v>1263</v>
      </c>
      <c r="AR14" s="478">
        <v>7470.4</v>
      </c>
      <c r="AS14" s="478">
        <v>24394.1</v>
      </c>
      <c r="AT14" s="478">
        <v>20759.3</v>
      </c>
      <c r="AU14" s="478">
        <v>62.9</v>
      </c>
      <c r="AV14" s="478">
        <v>942558.51</v>
      </c>
      <c r="AW14" s="478">
        <v>5784.1</v>
      </c>
      <c r="AX14" s="478">
        <v>948342.61</v>
      </c>
      <c r="AY14" s="478">
        <v>61642.269650000002</v>
      </c>
      <c r="AZ14" s="478">
        <v>11090.430349999995</v>
      </c>
      <c r="BA14" s="478">
        <v>72732.7</v>
      </c>
      <c r="BB14" s="478">
        <v>2223734.2999999998</v>
      </c>
      <c r="BC14" s="478">
        <v>223997.90000000002</v>
      </c>
      <c r="BD14" s="478">
        <v>3015.6</v>
      </c>
      <c r="BE14" s="478">
        <v>10964.5</v>
      </c>
      <c r="BF14" s="478">
        <v>3364.4</v>
      </c>
      <c r="BG14" s="478">
        <v>151102.29999999999</v>
      </c>
      <c r="BH14" s="478">
        <v>168446.8</v>
      </c>
      <c r="BI14" s="302" t="s">
        <v>1263</v>
      </c>
      <c r="BJ14" s="462">
        <v>-14.78</v>
      </c>
      <c r="BK14" s="462">
        <v>7.66</v>
      </c>
      <c r="BL14" s="462">
        <v>15.66</v>
      </c>
      <c r="BM14" s="462">
        <v>11.16</v>
      </c>
      <c r="BN14" s="462">
        <v>10.88</v>
      </c>
      <c r="BO14" s="310">
        <v>2.2875324003782787</v>
      </c>
      <c r="BP14" s="311">
        <v>3713</v>
      </c>
      <c r="BQ14" s="309">
        <v>1407</v>
      </c>
      <c r="BR14" s="309">
        <v>4529</v>
      </c>
      <c r="BS14" s="918">
        <v>71</v>
      </c>
      <c r="BT14" s="918">
        <v>9720</v>
      </c>
      <c r="BU14" s="462">
        <v>99.799512711417776</v>
      </c>
      <c r="BV14" s="462">
        <v>96.971040123456788</v>
      </c>
      <c r="BW14" s="462">
        <v>96.776625514403278</v>
      </c>
      <c r="BX14" s="462">
        <v>9.1735525256676098</v>
      </c>
      <c r="BY14" s="462">
        <v>5</v>
      </c>
      <c r="BZ14" s="462">
        <v>4.84</v>
      </c>
      <c r="CA14" s="462">
        <v>9.56</v>
      </c>
      <c r="CB14" s="462">
        <v>4.7200000000000006</v>
      </c>
      <c r="CC14" s="462">
        <v>8.3699999999999992</v>
      </c>
      <c r="CD14" s="462">
        <v>11.69</v>
      </c>
      <c r="CE14" s="462">
        <v>3.3200000000000003</v>
      </c>
    </row>
    <row r="15" spans="1:83" s="267" customFormat="1" ht="11.1" customHeight="1">
      <c r="H15" s="168"/>
      <c r="I15" s="1090" t="s">
        <v>1392</v>
      </c>
      <c r="J15" s="483">
        <v>153411.20000000001</v>
      </c>
      <c r="K15" s="483">
        <v>1529.3</v>
      </c>
      <c r="L15" s="483">
        <v>154940.5</v>
      </c>
      <c r="M15" s="483">
        <v>14023</v>
      </c>
      <c r="N15" s="483">
        <v>140917.5</v>
      </c>
      <c r="O15" s="483">
        <v>33411</v>
      </c>
      <c r="P15" s="483">
        <v>75790.3</v>
      </c>
      <c r="Q15" s="483">
        <v>113217.1</v>
      </c>
      <c r="R15" s="483">
        <v>855087.3</v>
      </c>
      <c r="S15" s="483">
        <v>968304.4</v>
      </c>
      <c r="T15" s="483">
        <v>1044094.7000000001</v>
      </c>
      <c r="U15" s="483">
        <v>759.1</v>
      </c>
      <c r="V15" s="483">
        <v>233743</v>
      </c>
      <c r="W15" s="483">
        <v>254893.7</v>
      </c>
      <c r="X15" s="483">
        <v>1109981</v>
      </c>
      <c r="Y15" s="485">
        <v>1373748.5</v>
      </c>
      <c r="Z15" s="1090" t="s">
        <v>1392</v>
      </c>
      <c r="AA15" s="483">
        <v>0</v>
      </c>
      <c r="AB15" s="483">
        <v>18543.400000000001</v>
      </c>
      <c r="AC15" s="483">
        <v>859131.1</v>
      </c>
      <c r="AD15" s="483">
        <v>877674.5</v>
      </c>
      <c r="AE15" s="483">
        <v>0</v>
      </c>
      <c r="AF15" s="483">
        <v>1666.1</v>
      </c>
      <c r="AG15" s="483">
        <v>26533.1</v>
      </c>
      <c r="AH15" s="483">
        <v>28199.199999999997</v>
      </c>
      <c r="AI15" s="483">
        <v>17367.400000000001</v>
      </c>
      <c r="AJ15" s="483">
        <v>152836.79999999999</v>
      </c>
      <c r="AK15" s="483">
        <v>16721.3</v>
      </c>
      <c r="AL15" s="483">
        <v>169558.09999999998</v>
      </c>
      <c r="AM15" s="483">
        <v>17367.400000000001</v>
      </c>
      <c r="AN15" s="483">
        <v>173046.3</v>
      </c>
      <c r="AO15" s="483">
        <v>902385.5</v>
      </c>
      <c r="AP15" s="483">
        <v>1075431.7999999998</v>
      </c>
      <c r="AQ15" s="1090" t="s">
        <v>1392</v>
      </c>
      <c r="AR15" s="483">
        <v>9988.7999999999993</v>
      </c>
      <c r="AS15" s="483">
        <v>32329.9</v>
      </c>
      <c r="AT15" s="483">
        <v>25777.8</v>
      </c>
      <c r="AU15" s="483">
        <v>59.2</v>
      </c>
      <c r="AV15" s="483">
        <v>1044113.46</v>
      </c>
      <c r="AW15" s="483">
        <v>7577.6</v>
      </c>
      <c r="AX15" s="483">
        <v>1051691.06</v>
      </c>
      <c r="AY15" s="483">
        <v>57843.010499999997</v>
      </c>
      <c r="AZ15" s="483">
        <v>22320.841650000002</v>
      </c>
      <c r="BA15" s="483">
        <v>78041.89</v>
      </c>
      <c r="BB15" s="483">
        <v>2680520.5</v>
      </c>
      <c r="BC15" s="483">
        <v>232982.39</v>
      </c>
      <c r="BD15" s="483">
        <v>4000</v>
      </c>
      <c r="BE15" s="483">
        <v>17878.900000000001</v>
      </c>
      <c r="BF15" s="483">
        <v>4818</v>
      </c>
      <c r="BG15" s="483">
        <v>151396</v>
      </c>
      <c r="BH15" s="483">
        <v>178092.9</v>
      </c>
      <c r="BI15" s="1090" t="s">
        <v>1392</v>
      </c>
      <c r="BJ15" s="576">
        <v>-2.5099999999999998</v>
      </c>
      <c r="BK15" s="576">
        <v>11.11</v>
      </c>
      <c r="BL15" s="576">
        <v>16.940000000000001</v>
      </c>
      <c r="BM15" s="576">
        <v>14.71</v>
      </c>
      <c r="BN15" s="576">
        <v>9.24</v>
      </c>
      <c r="BO15" s="268">
        <v>2.3777416009823593</v>
      </c>
      <c r="BP15" s="397">
        <v>3741</v>
      </c>
      <c r="BQ15" s="29">
        <v>1411</v>
      </c>
      <c r="BR15" s="29">
        <v>4888</v>
      </c>
      <c r="BS15" s="830">
        <v>74</v>
      </c>
      <c r="BT15" s="830">
        <v>10114</v>
      </c>
      <c r="BU15" s="576">
        <v>102.99951501439315</v>
      </c>
      <c r="BV15" s="576">
        <v>103.23447300771208</v>
      </c>
      <c r="BW15" s="576">
        <v>106.33100652560805</v>
      </c>
      <c r="BX15" s="576">
        <v>8.8175177820234207</v>
      </c>
      <c r="BY15" s="576">
        <v>5</v>
      </c>
      <c r="BZ15" s="576">
        <v>5.5</v>
      </c>
      <c r="CA15" s="576">
        <v>9.9499999999999993</v>
      </c>
      <c r="CB15" s="576">
        <v>4.4499999999999993</v>
      </c>
      <c r="CC15" s="576">
        <v>10.14</v>
      </c>
      <c r="CD15" s="576">
        <v>12.67</v>
      </c>
      <c r="CE15" s="576">
        <v>2.5299999999999994</v>
      </c>
    </row>
    <row r="16" spans="1:83" s="465" customFormat="1" ht="11.1" customHeight="1">
      <c r="I16" s="319" t="s">
        <v>1511</v>
      </c>
      <c r="J16" s="478">
        <v>168858.3</v>
      </c>
      <c r="K16" s="478">
        <v>1528.8</v>
      </c>
      <c r="L16" s="478">
        <v>170387.09999999998</v>
      </c>
      <c r="M16" s="478">
        <v>16100.1</v>
      </c>
      <c r="N16" s="478">
        <v>154286.99999999997</v>
      </c>
      <c r="O16" s="478">
        <v>39425.5</v>
      </c>
      <c r="P16" s="478">
        <v>82779.3</v>
      </c>
      <c r="Q16" s="478">
        <v>118217.9</v>
      </c>
      <c r="R16" s="478">
        <v>946318.1</v>
      </c>
      <c r="S16" s="478">
        <v>1064536</v>
      </c>
      <c r="T16" s="478">
        <v>1147315.3</v>
      </c>
      <c r="U16" s="478">
        <v>788.5</v>
      </c>
      <c r="V16" s="478">
        <v>246187.7</v>
      </c>
      <c r="W16" s="478">
        <v>273293.39999999997</v>
      </c>
      <c r="X16" s="478">
        <v>1219611.5</v>
      </c>
      <c r="Y16" s="478">
        <v>1534026.9</v>
      </c>
      <c r="Z16" s="319" t="s">
        <v>1511</v>
      </c>
      <c r="AA16" s="478">
        <v>0</v>
      </c>
      <c r="AB16" s="478">
        <v>20919.7</v>
      </c>
      <c r="AC16" s="478">
        <v>959297.9</v>
      </c>
      <c r="AD16" s="478">
        <v>980217.6</v>
      </c>
      <c r="AE16" s="478">
        <v>0</v>
      </c>
      <c r="AF16" s="478">
        <v>1846.4</v>
      </c>
      <c r="AG16" s="478">
        <v>28721.3</v>
      </c>
      <c r="AH16" s="478">
        <v>30567.7</v>
      </c>
      <c r="AI16" s="478">
        <v>26155.9</v>
      </c>
      <c r="AJ16" s="478">
        <v>171543.8</v>
      </c>
      <c r="AK16" s="478">
        <v>17447.099999999999</v>
      </c>
      <c r="AL16" s="478">
        <v>188990.9</v>
      </c>
      <c r="AM16" s="478">
        <v>26155.9</v>
      </c>
      <c r="AN16" s="478">
        <v>194309.9</v>
      </c>
      <c r="AO16" s="478">
        <v>1005466.3</v>
      </c>
      <c r="AP16" s="478">
        <v>1199776.2</v>
      </c>
      <c r="AQ16" s="319" t="s">
        <v>1511</v>
      </c>
      <c r="AR16" s="478">
        <v>10348.200000000001</v>
      </c>
      <c r="AS16" s="478">
        <v>35369.800000000003</v>
      </c>
      <c r="AT16" s="478">
        <v>35152.699999999997</v>
      </c>
      <c r="AU16" s="478">
        <v>146.6</v>
      </c>
      <c r="AV16" s="478">
        <v>1147338.68</v>
      </c>
      <c r="AW16" s="478">
        <v>7705.6</v>
      </c>
      <c r="AX16" s="478">
        <v>1155044.28</v>
      </c>
      <c r="AY16" s="478">
        <v>63527.436500000003</v>
      </c>
      <c r="AZ16" s="478">
        <v>13942.628850000008</v>
      </c>
      <c r="BA16" s="478">
        <v>74935.791300000012</v>
      </c>
      <c r="BB16" s="478">
        <v>3029188.4</v>
      </c>
      <c r="BC16" s="478">
        <v>245322.89129999999</v>
      </c>
      <c r="BD16" s="478">
        <v>1422.9</v>
      </c>
      <c r="BE16" s="478">
        <v>30233</v>
      </c>
      <c r="BF16" s="478">
        <v>4900.8</v>
      </c>
      <c r="BG16" s="478">
        <v>168433.9</v>
      </c>
      <c r="BH16" s="478">
        <v>204990.59999999998</v>
      </c>
      <c r="BI16" s="319" t="s">
        <v>1511</v>
      </c>
      <c r="BJ16" s="462">
        <v>19.37</v>
      </c>
      <c r="BK16" s="462">
        <v>21.64</v>
      </c>
      <c r="BL16" s="462">
        <v>11.32</v>
      </c>
      <c r="BM16" s="462">
        <v>12.26</v>
      </c>
      <c r="BN16" s="462">
        <v>9.8800000000000008</v>
      </c>
      <c r="BO16" s="310">
        <v>2.4199747214584315</v>
      </c>
      <c r="BP16" s="311">
        <v>3759</v>
      </c>
      <c r="BQ16" s="918">
        <v>1483</v>
      </c>
      <c r="BR16" s="918">
        <v>5094</v>
      </c>
      <c r="BS16" s="918">
        <v>68</v>
      </c>
      <c r="BT16" s="918">
        <v>10396</v>
      </c>
      <c r="BU16" s="462">
        <v>104.57036103759702</v>
      </c>
      <c r="BV16" s="462">
        <v>110.36347441323585</v>
      </c>
      <c r="BW16" s="462">
        <v>115.40748364755675</v>
      </c>
      <c r="BX16" s="462">
        <v>7.9345264730375886</v>
      </c>
      <c r="BY16" s="462">
        <v>5</v>
      </c>
      <c r="BZ16" s="462">
        <v>5.43</v>
      </c>
      <c r="CA16" s="462">
        <v>9.58</v>
      </c>
      <c r="CB16" s="462">
        <v>4.1500000000000004</v>
      </c>
      <c r="CC16" s="462">
        <v>10.56</v>
      </c>
      <c r="CD16" s="462">
        <v>13</v>
      </c>
      <c r="CE16" s="462">
        <v>2.4399999999999995</v>
      </c>
    </row>
    <row r="17" spans="1:83" s="170" customFormat="1" ht="11.1" customHeight="1">
      <c r="A17" s="168"/>
      <c r="B17" s="168"/>
      <c r="C17" s="168"/>
      <c r="D17" s="168"/>
      <c r="E17" s="168"/>
      <c r="F17" s="168"/>
      <c r="G17" s="168"/>
      <c r="H17" s="168"/>
      <c r="I17" s="168" t="s">
        <v>1602</v>
      </c>
      <c r="J17" s="483">
        <v>206552.2</v>
      </c>
      <c r="K17" s="483">
        <v>1541.9</v>
      </c>
      <c r="L17" s="483">
        <v>208094.1</v>
      </c>
      <c r="M17" s="483">
        <v>15979.6</v>
      </c>
      <c r="N17" s="483">
        <v>192114.5</v>
      </c>
      <c r="O17" s="483">
        <v>30355.7</v>
      </c>
      <c r="P17" s="483">
        <v>88099.4</v>
      </c>
      <c r="Q17" s="483">
        <v>135528.4</v>
      </c>
      <c r="R17" s="483">
        <v>1045471.1</v>
      </c>
      <c r="S17" s="483">
        <v>1180999.5</v>
      </c>
      <c r="T17" s="483">
        <v>1269098.8999999999</v>
      </c>
      <c r="U17" s="483">
        <v>621</v>
      </c>
      <c r="V17" s="483">
        <v>284483.40000000002</v>
      </c>
      <c r="W17" s="483">
        <v>328263.90000000002</v>
      </c>
      <c r="X17" s="483">
        <v>1373735</v>
      </c>
      <c r="Y17" s="483">
        <v>1703937.4</v>
      </c>
      <c r="Z17" s="168" t="s">
        <v>1602</v>
      </c>
      <c r="AA17" s="483">
        <v>0</v>
      </c>
      <c r="AB17" s="483">
        <v>25708.3</v>
      </c>
      <c r="AC17" s="483">
        <v>1050976</v>
      </c>
      <c r="AD17" s="483">
        <v>1076684.3</v>
      </c>
      <c r="AE17" s="483">
        <v>0</v>
      </c>
      <c r="AF17" s="483">
        <v>1921.3</v>
      </c>
      <c r="AG17" s="483">
        <v>22033.3</v>
      </c>
      <c r="AH17" s="483">
        <v>23954.6</v>
      </c>
      <c r="AI17" s="483">
        <v>25407.3</v>
      </c>
      <c r="AJ17" s="483">
        <v>232935.5</v>
      </c>
      <c r="AK17" s="483">
        <v>18916</v>
      </c>
      <c r="AL17" s="483">
        <v>251851.5</v>
      </c>
      <c r="AM17" s="483">
        <v>25407.3</v>
      </c>
      <c r="AN17" s="483">
        <v>260565.1</v>
      </c>
      <c r="AO17" s="483">
        <v>1091925.3</v>
      </c>
      <c r="AP17" s="483">
        <v>1352490.4000000001</v>
      </c>
      <c r="AQ17" s="168" t="s">
        <v>1602</v>
      </c>
      <c r="AR17" s="483">
        <v>13614.7</v>
      </c>
      <c r="AS17" s="483">
        <v>50299.7</v>
      </c>
      <c r="AT17" s="483">
        <v>35190.199999999997</v>
      </c>
      <c r="AU17" s="483">
        <v>58.5</v>
      </c>
      <c r="AV17" s="483">
        <v>1269113.6399999999</v>
      </c>
      <c r="AW17" s="483">
        <v>10934.2</v>
      </c>
      <c r="AX17" s="483">
        <v>1280047.8399999999</v>
      </c>
      <c r="AY17" s="483">
        <v>51201.911999999997</v>
      </c>
      <c r="AZ17" s="483">
        <v>26071.655700000003</v>
      </c>
      <c r="BA17" s="483">
        <v>75764.965700000001</v>
      </c>
      <c r="BB17" s="483">
        <v>3332696.5</v>
      </c>
      <c r="BC17" s="483">
        <v>283859.06570000004</v>
      </c>
      <c r="BD17" s="483">
        <v>10631</v>
      </c>
      <c r="BE17" s="483">
        <v>36086.9</v>
      </c>
      <c r="BF17" s="483">
        <v>4710.3</v>
      </c>
      <c r="BG17" s="483">
        <v>229191.6</v>
      </c>
      <c r="BH17" s="483">
        <v>280619.8</v>
      </c>
      <c r="BI17" s="168" t="s">
        <v>1602</v>
      </c>
      <c r="BJ17" s="576">
        <v>55.51</v>
      </c>
      <c r="BK17" s="576">
        <v>25.09</v>
      </c>
      <c r="BL17" s="576">
        <v>8.61</v>
      </c>
      <c r="BM17" s="576">
        <v>13.58</v>
      </c>
      <c r="BN17" s="576">
        <v>12.64</v>
      </c>
      <c r="BO17" s="268">
        <v>2.3079189217716665</v>
      </c>
      <c r="BP17" s="830">
        <v>3775</v>
      </c>
      <c r="BQ17" s="830">
        <v>1483</v>
      </c>
      <c r="BR17" s="830">
        <v>5265</v>
      </c>
      <c r="BS17" s="830">
        <v>65</v>
      </c>
      <c r="BT17" s="830">
        <v>10588</v>
      </c>
      <c r="BU17" s="576">
        <v>106.56968433496627</v>
      </c>
      <c r="BV17" s="576">
        <v>119.86339629769549</v>
      </c>
      <c r="BW17" s="576">
        <v>127.73804306762374</v>
      </c>
      <c r="BX17" s="576">
        <v>7.2290268427025977</v>
      </c>
      <c r="BY17" s="576">
        <v>5</v>
      </c>
      <c r="BZ17" s="576">
        <v>5.0599999999999996</v>
      </c>
      <c r="CA17" s="576">
        <v>7.95</v>
      </c>
      <c r="CB17" s="576">
        <v>2.8900000000000006</v>
      </c>
      <c r="CC17" s="576">
        <v>9.7200000000000006</v>
      </c>
      <c r="CD17" s="576">
        <v>12.93</v>
      </c>
      <c r="CE17" s="576">
        <v>3.2099999999999991</v>
      </c>
    </row>
    <row r="18" spans="1:83" s="170" customFormat="1" ht="11.1" customHeight="1">
      <c r="A18" s="168"/>
      <c r="B18" s="168"/>
      <c r="C18" s="168"/>
      <c r="D18" s="168"/>
      <c r="E18" s="168"/>
      <c r="F18" s="168"/>
      <c r="G18" s="904"/>
      <c r="H18" s="904"/>
      <c r="I18" s="321" t="s">
        <v>1668</v>
      </c>
      <c r="J18" s="573">
        <v>225322.2</v>
      </c>
      <c r="K18" s="573">
        <v>1566.1</v>
      </c>
      <c r="L18" s="573">
        <v>226888.30000000002</v>
      </c>
      <c r="M18" s="573">
        <v>17370.599999999999</v>
      </c>
      <c r="N18" s="573">
        <v>209517.7</v>
      </c>
      <c r="O18" s="573">
        <v>40048.199999999997</v>
      </c>
      <c r="P18" s="573">
        <v>96176.5</v>
      </c>
      <c r="Q18" s="573">
        <v>165724.5</v>
      </c>
      <c r="R18" s="573">
        <v>1185066.6000000001</v>
      </c>
      <c r="S18" s="573">
        <v>1350791.1</v>
      </c>
      <c r="T18" s="573">
        <v>1446967.6</v>
      </c>
      <c r="U18" s="573">
        <v>586.5</v>
      </c>
      <c r="V18" s="573">
        <v>348071.80000000005</v>
      </c>
      <c r="W18" s="573">
        <v>375828.7</v>
      </c>
      <c r="X18" s="573">
        <v>1560895.3</v>
      </c>
      <c r="Y18" s="573">
        <v>1929045.3</v>
      </c>
      <c r="Z18" s="321" t="s">
        <v>1668</v>
      </c>
      <c r="AA18" s="573">
        <v>0</v>
      </c>
      <c r="AB18" s="573">
        <v>26917.4</v>
      </c>
      <c r="AC18" s="573">
        <v>1139574.1000000001</v>
      </c>
      <c r="AD18" s="573">
        <v>1166491.5</v>
      </c>
      <c r="AE18" s="573">
        <v>0</v>
      </c>
      <c r="AF18" s="573">
        <v>1788.7</v>
      </c>
      <c r="AG18" s="573">
        <v>22235.9</v>
      </c>
      <c r="AH18" s="573">
        <v>24024.600000000002</v>
      </c>
      <c r="AI18" s="573">
        <v>29531.4</v>
      </c>
      <c r="AJ18" s="573">
        <v>299276.3</v>
      </c>
      <c r="AK18" s="573">
        <v>21206.9</v>
      </c>
      <c r="AL18" s="573">
        <v>320483.20000000001</v>
      </c>
      <c r="AM18" s="573">
        <v>29531.4</v>
      </c>
      <c r="AN18" s="573">
        <v>327982.39999999997</v>
      </c>
      <c r="AO18" s="573">
        <v>1183016.8999999999</v>
      </c>
      <c r="AP18" s="573">
        <v>1510999.3</v>
      </c>
      <c r="AQ18" s="321" t="s">
        <v>1668</v>
      </c>
      <c r="AR18" s="573">
        <v>7539</v>
      </c>
      <c r="AS18" s="573">
        <v>73626.100000000006</v>
      </c>
      <c r="AT18" s="573">
        <v>37421.1</v>
      </c>
      <c r="AU18" s="573">
        <v>75.3</v>
      </c>
      <c r="AV18" s="573">
        <v>1446984.11</v>
      </c>
      <c r="AW18" s="573">
        <v>9967.1</v>
      </c>
      <c r="AX18" s="573">
        <v>1456951.2100000002</v>
      </c>
      <c r="AY18" s="573">
        <v>58278.048400000007</v>
      </c>
      <c r="AZ18" s="573">
        <v>62314.271199999996</v>
      </c>
      <c r="BA18" s="573">
        <v>120592.3196</v>
      </c>
      <c r="BB18" s="573">
        <v>3842083.7</v>
      </c>
      <c r="BC18" s="573">
        <v>347480.61960000003</v>
      </c>
      <c r="BD18" s="573">
        <v>4126.8</v>
      </c>
      <c r="BE18" s="573">
        <v>29712.3</v>
      </c>
      <c r="BF18" s="573">
        <v>5780.6</v>
      </c>
      <c r="BG18" s="573">
        <v>295402.2</v>
      </c>
      <c r="BH18" s="573">
        <v>335021.89999999997</v>
      </c>
      <c r="BI18" s="321" t="s">
        <v>1668</v>
      </c>
      <c r="BJ18" s="641">
        <v>22.01</v>
      </c>
      <c r="BK18" s="641">
        <v>2.75</v>
      </c>
      <c r="BL18" s="641">
        <v>8.35</v>
      </c>
      <c r="BM18" s="641">
        <v>10.11</v>
      </c>
      <c r="BN18" s="641">
        <v>13.62</v>
      </c>
      <c r="BO18" s="353">
        <v>2.2616411235269913</v>
      </c>
      <c r="BP18" s="679">
        <v>3801</v>
      </c>
      <c r="BQ18" s="679">
        <v>1504</v>
      </c>
      <c r="BR18" s="679">
        <v>5421</v>
      </c>
      <c r="BS18" s="679">
        <v>67</v>
      </c>
      <c r="BT18" s="679">
        <v>10793</v>
      </c>
      <c r="BU18" s="641">
        <v>104.42404236215144</v>
      </c>
      <c r="BV18" s="641">
        <v>134.06690540164922</v>
      </c>
      <c r="BW18" s="641">
        <v>139.99808209024368</v>
      </c>
      <c r="BX18" s="641">
        <v>9.5345151786082845</v>
      </c>
      <c r="BY18" s="641">
        <v>4</v>
      </c>
      <c r="BZ18" s="641">
        <v>4.13</v>
      </c>
      <c r="CA18" s="641">
        <v>7.33</v>
      </c>
      <c r="CB18" s="641">
        <v>3.2</v>
      </c>
      <c r="CC18" s="641">
        <v>7.82</v>
      </c>
      <c r="CD18" s="641">
        <v>11.19</v>
      </c>
      <c r="CE18" s="641">
        <v>3.3699999999999992</v>
      </c>
    </row>
    <row r="19" spans="1:83" s="170" customFormat="1" ht="11.1" customHeight="1">
      <c r="A19" s="168"/>
      <c r="B19" s="168"/>
      <c r="C19" s="168"/>
      <c r="D19" s="168"/>
      <c r="E19" s="168"/>
      <c r="F19" s="168"/>
      <c r="G19" s="168"/>
      <c r="H19" s="168"/>
      <c r="I19" s="1663" t="s">
        <v>2018</v>
      </c>
      <c r="J19" s="570">
        <f>J31</f>
        <v>254519.5</v>
      </c>
      <c r="K19" s="570">
        <f t="shared" ref="K19:Y19" si="2">K31</f>
        <v>1663.3</v>
      </c>
      <c r="L19" s="570">
        <f t="shared" si="2"/>
        <v>256182.8</v>
      </c>
      <c r="M19" s="570">
        <f t="shared" si="2"/>
        <v>19733.8</v>
      </c>
      <c r="N19" s="570">
        <f t="shared" si="2"/>
        <v>236449</v>
      </c>
      <c r="O19" s="570">
        <f t="shared" si="2"/>
        <v>36254.9</v>
      </c>
      <c r="P19" s="570">
        <f t="shared" si="2"/>
        <v>108918.7</v>
      </c>
      <c r="Q19" s="570">
        <f t="shared" si="2"/>
        <v>188859.4</v>
      </c>
      <c r="R19" s="570">
        <f t="shared" si="2"/>
        <v>1282217.5</v>
      </c>
      <c r="S19" s="570">
        <f t="shared" si="2"/>
        <v>1471076.9</v>
      </c>
      <c r="T19" s="570">
        <f t="shared" si="2"/>
        <v>1579995.5999999999</v>
      </c>
      <c r="U19" s="570">
        <f t="shared" si="2"/>
        <v>596.4</v>
      </c>
      <c r="V19" s="570">
        <f t="shared" si="2"/>
        <v>347162</v>
      </c>
      <c r="W19" s="570">
        <f t="shared" si="2"/>
        <v>425904.80000000005</v>
      </c>
      <c r="X19" s="570">
        <f t="shared" si="2"/>
        <v>1708122.3</v>
      </c>
      <c r="Y19" s="570">
        <f t="shared" si="2"/>
        <v>2097973.2999999998</v>
      </c>
      <c r="Z19" s="196" t="s">
        <v>2018</v>
      </c>
      <c r="AA19" s="570">
        <f t="shared" ref="AA19:AP19" si="3">AA31</f>
        <v>0</v>
      </c>
      <c r="AB19" s="570">
        <f t="shared" si="3"/>
        <v>38512.6</v>
      </c>
      <c r="AC19" s="570">
        <f t="shared" si="3"/>
        <v>1286429.5</v>
      </c>
      <c r="AD19" s="570">
        <f t="shared" si="3"/>
        <v>1324942.1000000001</v>
      </c>
      <c r="AE19" s="570">
        <f t="shared" si="3"/>
        <v>0</v>
      </c>
      <c r="AF19" s="570">
        <f t="shared" si="3"/>
        <v>1884.6</v>
      </c>
      <c r="AG19" s="570">
        <f t="shared" si="3"/>
        <v>32287.9</v>
      </c>
      <c r="AH19" s="570">
        <f t="shared" si="3"/>
        <v>34172.5</v>
      </c>
      <c r="AI19" s="570">
        <f t="shared" si="3"/>
        <v>30832</v>
      </c>
      <c r="AJ19" s="570">
        <f t="shared" si="3"/>
        <v>334009.8</v>
      </c>
      <c r="AK19" s="570">
        <f t="shared" si="3"/>
        <v>26582.3</v>
      </c>
      <c r="AL19" s="570">
        <f t="shared" si="3"/>
        <v>360592.1</v>
      </c>
      <c r="AM19" s="570">
        <f t="shared" si="3"/>
        <v>30832</v>
      </c>
      <c r="AN19" s="570">
        <f t="shared" si="3"/>
        <v>374407</v>
      </c>
      <c r="AO19" s="570">
        <f t="shared" si="3"/>
        <v>1345299.7</v>
      </c>
      <c r="AP19" s="570">
        <f t="shared" si="3"/>
        <v>1719706.7000000002</v>
      </c>
      <c r="AQ19" s="196" t="s">
        <v>2018</v>
      </c>
      <c r="AR19" s="570">
        <f t="shared" ref="AR19:BH19" si="4">AR31</f>
        <v>7702.1</v>
      </c>
      <c r="AS19" s="570">
        <f t="shared" si="4"/>
        <v>91659.8</v>
      </c>
      <c r="AT19" s="570">
        <f t="shared" si="4"/>
        <v>42893.9</v>
      </c>
      <c r="AU19" s="570">
        <f t="shared" si="4"/>
        <v>634.4</v>
      </c>
      <c r="AV19" s="570">
        <f t="shared" si="4"/>
        <v>1580021.02</v>
      </c>
      <c r="AW19" s="570">
        <f t="shared" si="4"/>
        <v>14605</v>
      </c>
      <c r="AX19" s="570">
        <f t="shared" si="4"/>
        <v>1594626.02</v>
      </c>
      <c r="AY19" s="570">
        <f t="shared" si="4"/>
        <v>63785.040800000002</v>
      </c>
      <c r="AZ19" s="570">
        <f t="shared" si="4"/>
        <v>26589.661199999988</v>
      </c>
      <c r="BA19" s="570">
        <f t="shared" si="4"/>
        <v>90374.70199999999</v>
      </c>
      <c r="BB19" s="570">
        <f t="shared" si="4"/>
        <v>4276170.7</v>
      </c>
      <c r="BC19" s="570">
        <f t="shared" si="4"/>
        <v>346557.50199999998</v>
      </c>
      <c r="BD19" s="570">
        <f t="shared" si="4"/>
        <v>4853.7</v>
      </c>
      <c r="BE19" s="570">
        <f t="shared" si="4"/>
        <v>53503</v>
      </c>
      <c r="BF19" s="570">
        <f t="shared" si="4"/>
        <v>11175.3</v>
      </c>
      <c r="BG19" s="570">
        <f t="shared" si="4"/>
        <v>329468.59999999998</v>
      </c>
      <c r="BH19" s="570">
        <f t="shared" si="4"/>
        <v>399000.6</v>
      </c>
      <c r="BI19" s="196" t="s">
        <v>2018</v>
      </c>
      <c r="BJ19" s="569">
        <f>BJ31</f>
        <v>28.18</v>
      </c>
      <c r="BK19" s="569">
        <f t="shared" ref="BK19:BN19" si="5">BK31</f>
        <v>23.92</v>
      </c>
      <c r="BL19" s="569">
        <f t="shared" si="5"/>
        <v>13.66</v>
      </c>
      <c r="BM19" s="569">
        <f t="shared" si="5"/>
        <v>16.100000000000001</v>
      </c>
      <c r="BN19" s="569">
        <f t="shared" si="5"/>
        <v>9.43</v>
      </c>
      <c r="BO19" s="360">
        <v>2.3279727878953862</v>
      </c>
      <c r="BP19" s="643">
        <f t="shared" ref="BP19:CE19" si="6">BP31</f>
        <v>3812</v>
      </c>
      <c r="BQ19" s="643">
        <f t="shared" si="6"/>
        <v>1519</v>
      </c>
      <c r="BR19" s="643">
        <f t="shared" si="6"/>
        <v>5567</v>
      </c>
      <c r="BS19" s="643">
        <f t="shared" si="6"/>
        <v>65</v>
      </c>
      <c r="BT19" s="643">
        <f t="shared" si="6"/>
        <v>10963</v>
      </c>
      <c r="BU19" s="569">
        <f t="shared" si="6"/>
        <v>108.8407482072612</v>
      </c>
      <c r="BV19" s="569">
        <f t="shared" si="6"/>
        <v>144.1230520842835</v>
      </c>
      <c r="BW19" s="569">
        <f t="shared" si="6"/>
        <v>156.86460822767492</v>
      </c>
      <c r="BX19" s="569">
        <f t="shared" si="6"/>
        <v>6.9687998201441639</v>
      </c>
      <c r="BY19" s="569">
        <f t="shared" si="6"/>
        <v>4</v>
      </c>
      <c r="BZ19" s="569">
        <f t="shared" si="6"/>
        <v>3.97</v>
      </c>
      <c r="CA19" s="569">
        <f t="shared" si="6"/>
        <v>7.09</v>
      </c>
      <c r="CB19" s="569">
        <f t="shared" si="6"/>
        <v>3.1199999999999997</v>
      </c>
      <c r="CC19" s="569">
        <f t="shared" si="6"/>
        <v>7.49</v>
      </c>
      <c r="CD19" s="569">
        <f t="shared" si="6"/>
        <v>9.85</v>
      </c>
      <c r="CE19" s="569">
        <f t="shared" si="6"/>
        <v>2.3599999999999994</v>
      </c>
    </row>
    <row r="20" spans="1:83" s="170" customFormat="1" ht="11.1" customHeight="1">
      <c r="A20" s="168"/>
      <c r="B20" s="168"/>
      <c r="C20" s="168"/>
      <c r="D20" s="168"/>
      <c r="E20" s="168"/>
      <c r="F20" s="168"/>
      <c r="G20" s="168"/>
      <c r="H20" s="168"/>
      <c r="I20" s="319" t="s">
        <v>576</v>
      </c>
      <c r="J20" s="478">
        <v>244502.5</v>
      </c>
      <c r="K20" s="478">
        <v>1569.3</v>
      </c>
      <c r="L20" s="478">
        <f t="shared" ref="L20:L43" si="7">J20+K20</f>
        <v>246071.8</v>
      </c>
      <c r="M20" s="478">
        <v>19028.900000000001</v>
      </c>
      <c r="N20" s="478">
        <f t="shared" ref="N20:N43" si="8">L20-M20</f>
        <v>227042.9</v>
      </c>
      <c r="O20" s="478">
        <v>39218.800000000003</v>
      </c>
      <c r="P20" s="478">
        <v>95349</v>
      </c>
      <c r="Q20" s="478">
        <v>157384</v>
      </c>
      <c r="R20" s="478">
        <v>1193049.8</v>
      </c>
      <c r="S20" s="478">
        <f t="shared" ref="S20:S43" si="9">Q20+R20</f>
        <v>1350433.8</v>
      </c>
      <c r="T20" s="478">
        <f t="shared" ref="T20:T44" si="10">P20+S20</f>
        <v>1445782.8</v>
      </c>
      <c r="U20" s="478">
        <v>569.29999999999995</v>
      </c>
      <c r="V20" s="478">
        <v>349551.2</v>
      </c>
      <c r="W20" s="478">
        <f t="shared" ref="W20:W44" si="11">N20+Q20+U20</f>
        <v>384996.2</v>
      </c>
      <c r="X20" s="478">
        <f t="shared" ref="X20:X44" si="12">R20+W20</f>
        <v>1578046</v>
      </c>
      <c r="Y20" s="478">
        <v>1948997.5</v>
      </c>
      <c r="Z20" s="319" t="s">
        <v>576</v>
      </c>
      <c r="AA20" s="304">
        <v>0</v>
      </c>
      <c r="AB20" s="478">
        <v>27159.9</v>
      </c>
      <c r="AC20" s="478">
        <v>1135185</v>
      </c>
      <c r="AD20" s="478">
        <f t="shared" ref="AD20:AD51" si="13">AB20+AC20</f>
        <v>1162344.8999999999</v>
      </c>
      <c r="AE20" s="304">
        <v>0</v>
      </c>
      <c r="AF20" s="478">
        <v>1759.7</v>
      </c>
      <c r="AG20" s="478">
        <v>24416.1</v>
      </c>
      <c r="AH20" s="478">
        <f t="shared" ref="AH20:AH43" si="14">AF20+AG20</f>
        <v>26175.8</v>
      </c>
      <c r="AI20" s="481">
        <v>29438.1</v>
      </c>
      <c r="AJ20" s="481">
        <v>311156.59999999998</v>
      </c>
      <c r="AK20" s="481">
        <v>21588.1</v>
      </c>
      <c r="AL20" s="481">
        <f t="shared" ref="AL20:AL44" si="15">AJ20+AK20</f>
        <v>332744.69999999995</v>
      </c>
      <c r="AM20" s="481">
        <f t="shared" ref="AM20:AP31" si="16">AA20+AE20+AI20</f>
        <v>29438.1</v>
      </c>
      <c r="AN20" s="481">
        <f t="shared" si="16"/>
        <v>340076.19999999995</v>
      </c>
      <c r="AO20" s="481">
        <f t="shared" si="16"/>
        <v>1181189.2000000002</v>
      </c>
      <c r="AP20" s="481">
        <f t="shared" si="16"/>
        <v>1521265.4</v>
      </c>
      <c r="AQ20" s="319" t="s">
        <v>576</v>
      </c>
      <c r="AR20" s="478">
        <v>7236</v>
      </c>
      <c r="AS20" s="478">
        <v>75326.100000000006</v>
      </c>
      <c r="AT20" s="478">
        <v>39241.199999999997</v>
      </c>
      <c r="AU20" s="478">
        <v>77.599999999999994</v>
      </c>
      <c r="AV20" s="478">
        <f>1445833.5-31.27</f>
        <v>1445802.23</v>
      </c>
      <c r="AW20" s="478">
        <v>12396.5</v>
      </c>
      <c r="AX20" s="478">
        <f t="shared" ref="AX20:AX36" si="17">AV20+AW20</f>
        <v>1458198.73</v>
      </c>
      <c r="AY20" s="478">
        <f>0.04*AX20</f>
        <v>58327.949200000003</v>
      </c>
      <c r="AZ20" s="478">
        <f t="shared" ref="AZ20:AZ31" si="18">BA20-AY20</f>
        <v>44579.510699999999</v>
      </c>
      <c r="BA20" s="481">
        <f>102910.1-2.6401</f>
        <v>102907.4599</v>
      </c>
      <c r="BB20" s="478">
        <v>3877920.8</v>
      </c>
      <c r="BC20" s="478">
        <f t="shared" ref="BC20:BC31" si="19">L20+BA20</f>
        <v>348979.2599</v>
      </c>
      <c r="BD20" s="901">
        <v>4126.8</v>
      </c>
      <c r="BE20" s="478">
        <v>25725.3</v>
      </c>
      <c r="BF20" s="478">
        <v>5826.9</v>
      </c>
      <c r="BG20" s="478">
        <v>307282.5</v>
      </c>
      <c r="BH20" s="478">
        <f t="shared" ref="BH20:BH51" si="20">BG20+BF20+BE20+BD20</f>
        <v>342961.5</v>
      </c>
      <c r="BI20" s="319" t="s">
        <v>576</v>
      </c>
      <c r="BJ20" s="310">
        <v>3.67</v>
      </c>
      <c r="BK20" s="310">
        <v>0.4</v>
      </c>
      <c r="BL20" s="310">
        <v>-0.16</v>
      </c>
      <c r="BM20" s="310">
        <v>0.44</v>
      </c>
      <c r="BN20" s="310">
        <v>1.1000000000000001</v>
      </c>
      <c r="BO20" s="310" t="s">
        <v>298</v>
      </c>
      <c r="BP20" s="311">
        <v>3801</v>
      </c>
      <c r="BQ20" s="311">
        <v>1507</v>
      </c>
      <c r="BR20" s="311">
        <v>5422</v>
      </c>
      <c r="BS20" s="311">
        <v>67</v>
      </c>
      <c r="BT20" s="311">
        <f t="shared" ref="BT20:BT51" si="21">SUM(BP20:BS20)</f>
        <v>10797</v>
      </c>
      <c r="BU20" s="310">
        <f t="shared" ref="BU20:BU25" si="22">AP20/AV20*100</f>
        <v>105.2194669806257</v>
      </c>
      <c r="BV20" s="310">
        <f t="shared" ref="BV20:BV31" si="23">AV20/BT20</f>
        <v>133.90777345558951</v>
      </c>
      <c r="BW20" s="310">
        <f t="shared" ref="BW20:BW31" si="24">AP20/BT20</f>
        <v>140.89704547559506</v>
      </c>
      <c r="BX20" s="310">
        <f t="shared" ref="BX20:BX29" si="25">(M20+BA20)/AV20*100</f>
        <v>8.4338201567167328</v>
      </c>
      <c r="BY20" s="310">
        <v>4</v>
      </c>
      <c r="BZ20" s="310">
        <v>4.1100000000000003</v>
      </c>
      <c r="CA20" s="310">
        <v>7.3</v>
      </c>
      <c r="CB20" s="310">
        <f t="shared" ref="CB20:CB49" si="26">CA20-BZ20</f>
        <v>3.1899999999999995</v>
      </c>
      <c r="CC20" s="310">
        <v>7.7</v>
      </c>
      <c r="CD20" s="310">
        <v>11.11</v>
      </c>
      <c r="CE20" s="310">
        <f t="shared" ref="CE20:CE49" si="27">CD20-CC20</f>
        <v>3.4099999999999993</v>
      </c>
    </row>
    <row r="21" spans="1:83" s="170" customFormat="1" ht="11.1" customHeight="1">
      <c r="A21" s="168"/>
      <c r="B21" s="168"/>
      <c r="C21" s="168"/>
      <c r="D21" s="168"/>
      <c r="E21" s="168"/>
      <c r="F21" s="168"/>
      <c r="G21" s="168"/>
      <c r="H21" s="168"/>
      <c r="I21" s="168" t="s">
        <v>577</v>
      </c>
      <c r="J21" s="483">
        <v>232100.9</v>
      </c>
      <c r="K21" s="483">
        <v>1574.7</v>
      </c>
      <c r="L21" s="483">
        <f t="shared" si="7"/>
        <v>233675.6</v>
      </c>
      <c r="M21" s="483">
        <v>20154.900000000001</v>
      </c>
      <c r="N21" s="483">
        <f t="shared" si="8"/>
        <v>213520.7</v>
      </c>
      <c r="O21" s="483">
        <v>34545.599999999999</v>
      </c>
      <c r="P21" s="483">
        <v>97383.2</v>
      </c>
      <c r="Q21" s="483">
        <v>160725.5</v>
      </c>
      <c r="R21" s="483">
        <v>1204766.6000000001</v>
      </c>
      <c r="S21" s="483">
        <f t="shared" si="9"/>
        <v>1365492.1</v>
      </c>
      <c r="T21" s="483">
        <f t="shared" si="10"/>
        <v>1462875.3</v>
      </c>
      <c r="U21" s="483">
        <v>530.1</v>
      </c>
      <c r="V21" s="483">
        <v>325861</v>
      </c>
      <c r="W21" s="483">
        <f t="shared" si="11"/>
        <v>374776.3</v>
      </c>
      <c r="X21" s="483">
        <f t="shared" si="12"/>
        <v>1579542.9000000001</v>
      </c>
      <c r="Y21" s="483">
        <v>1951470.9</v>
      </c>
      <c r="Z21" s="168" t="s">
        <v>577</v>
      </c>
      <c r="AA21" s="239">
        <v>0</v>
      </c>
      <c r="AB21" s="483">
        <v>27134.400000000001</v>
      </c>
      <c r="AC21" s="483">
        <v>1141144.6000000001</v>
      </c>
      <c r="AD21" s="483">
        <f t="shared" si="13"/>
        <v>1168279</v>
      </c>
      <c r="AE21" s="239">
        <v>0</v>
      </c>
      <c r="AF21" s="483">
        <v>1727.9</v>
      </c>
      <c r="AG21" s="483">
        <v>25935.7</v>
      </c>
      <c r="AH21" s="483">
        <f t="shared" si="14"/>
        <v>27663.600000000002</v>
      </c>
      <c r="AI21" s="494">
        <v>29125.1</v>
      </c>
      <c r="AJ21" s="494">
        <v>314599.59999999998</v>
      </c>
      <c r="AK21" s="494">
        <v>21431.9</v>
      </c>
      <c r="AL21" s="494">
        <f t="shared" si="15"/>
        <v>336031.5</v>
      </c>
      <c r="AM21" s="494">
        <f t="shared" si="16"/>
        <v>29125.1</v>
      </c>
      <c r="AN21" s="494">
        <f t="shared" si="16"/>
        <v>343461.89999999997</v>
      </c>
      <c r="AO21" s="494">
        <f t="shared" si="16"/>
        <v>1188512.2</v>
      </c>
      <c r="AP21" s="494">
        <f t="shared" si="16"/>
        <v>1531974.1</v>
      </c>
      <c r="AQ21" s="168" t="s">
        <v>577</v>
      </c>
      <c r="AR21" s="483">
        <v>7159.9</v>
      </c>
      <c r="AS21" s="483">
        <v>75291.100000000006</v>
      </c>
      <c r="AT21" s="483">
        <v>39824</v>
      </c>
      <c r="AU21" s="483">
        <v>101.9</v>
      </c>
      <c r="AV21" s="483">
        <f>1462926.1-30.75</f>
        <v>1462895.35</v>
      </c>
      <c r="AW21" s="483">
        <v>10566.8</v>
      </c>
      <c r="AX21" s="483">
        <f t="shared" si="17"/>
        <v>1473462.1500000001</v>
      </c>
      <c r="AY21" s="483">
        <f t="shared" ref="AY21:AY31" si="28">0.04*AX21</f>
        <v>58938.486000000004</v>
      </c>
      <c r="AZ21" s="483">
        <f t="shared" si="18"/>
        <v>32715.6302</v>
      </c>
      <c r="BA21" s="494">
        <f>91655.3-1.1838</f>
        <v>91654.116200000004</v>
      </c>
      <c r="BB21" s="483">
        <v>3945983.1</v>
      </c>
      <c r="BC21" s="483">
        <f t="shared" si="19"/>
        <v>325329.71620000002</v>
      </c>
      <c r="BD21" s="242">
        <v>4126.8</v>
      </c>
      <c r="BE21" s="483">
        <v>24809.5</v>
      </c>
      <c r="BF21" s="483">
        <v>5856.1</v>
      </c>
      <c r="BG21" s="483">
        <v>310726.3</v>
      </c>
      <c r="BH21" s="483">
        <f t="shared" si="20"/>
        <v>345518.69999999995</v>
      </c>
      <c r="BI21" s="168" t="s">
        <v>577</v>
      </c>
      <c r="BJ21" s="268">
        <v>1.58</v>
      </c>
      <c r="BK21" s="268">
        <v>0.7</v>
      </c>
      <c r="BL21" s="268">
        <v>0.47</v>
      </c>
      <c r="BM21" s="268">
        <v>0.64</v>
      </c>
      <c r="BN21" s="268">
        <v>1.19</v>
      </c>
      <c r="BO21" s="268" t="s">
        <v>298</v>
      </c>
      <c r="BP21" s="397">
        <v>3801</v>
      </c>
      <c r="BQ21" s="397">
        <v>1507</v>
      </c>
      <c r="BR21" s="397">
        <v>5424</v>
      </c>
      <c r="BS21" s="397">
        <v>67</v>
      </c>
      <c r="BT21" s="397">
        <f t="shared" si="21"/>
        <v>10799</v>
      </c>
      <c r="BU21" s="268">
        <f t="shared" si="22"/>
        <v>104.72205684432588</v>
      </c>
      <c r="BV21" s="268">
        <f t="shared" si="23"/>
        <v>135.46581627928512</v>
      </c>
      <c r="BW21" s="268">
        <f t="shared" si="24"/>
        <v>141.86258912862303</v>
      </c>
      <c r="BX21" s="268">
        <f t="shared" si="25"/>
        <v>7.6429948458035639</v>
      </c>
      <c r="BY21" s="268">
        <v>4</v>
      </c>
      <c r="BZ21" s="268">
        <v>4.05</v>
      </c>
      <c r="CA21" s="268">
        <v>7.24</v>
      </c>
      <c r="CB21" s="268">
        <f t="shared" si="26"/>
        <v>3.1900000000000004</v>
      </c>
      <c r="CC21" s="268">
        <v>7.62</v>
      </c>
      <c r="CD21" s="268">
        <v>10.98</v>
      </c>
      <c r="CE21" s="268">
        <f t="shared" si="27"/>
        <v>3.3600000000000003</v>
      </c>
    </row>
    <row r="22" spans="1:83" s="170" customFormat="1" ht="11.1" customHeight="1">
      <c r="A22" s="168"/>
      <c r="B22" s="168"/>
      <c r="C22" s="168"/>
      <c r="D22" s="168"/>
      <c r="E22" s="168"/>
      <c r="F22" s="168"/>
      <c r="G22" s="168"/>
      <c r="H22" s="168"/>
      <c r="I22" s="319" t="s">
        <v>571</v>
      </c>
      <c r="J22" s="478">
        <v>226089.4</v>
      </c>
      <c r="K22" s="478">
        <v>1582.3</v>
      </c>
      <c r="L22" s="478">
        <f t="shared" si="7"/>
        <v>227671.69999999998</v>
      </c>
      <c r="M22" s="478">
        <v>18053.3</v>
      </c>
      <c r="N22" s="478">
        <f t="shared" si="8"/>
        <v>209618.4</v>
      </c>
      <c r="O22" s="478">
        <v>32460.7</v>
      </c>
      <c r="P22" s="478">
        <v>97093</v>
      </c>
      <c r="Q22" s="478">
        <v>156427.29999999999</v>
      </c>
      <c r="R22" s="478">
        <v>1219250.1000000001</v>
      </c>
      <c r="S22" s="478">
        <f t="shared" si="9"/>
        <v>1375677.4000000001</v>
      </c>
      <c r="T22" s="478">
        <f t="shared" si="10"/>
        <v>1472770.4000000001</v>
      </c>
      <c r="U22" s="478">
        <v>521.1</v>
      </c>
      <c r="V22" s="478">
        <v>323334.29999999993</v>
      </c>
      <c r="W22" s="478">
        <f t="shared" si="11"/>
        <v>366566.79999999993</v>
      </c>
      <c r="X22" s="478">
        <f t="shared" si="12"/>
        <v>1585816.9</v>
      </c>
      <c r="Y22" s="478">
        <v>1960362.7</v>
      </c>
      <c r="Z22" s="319" t="s">
        <v>571</v>
      </c>
      <c r="AA22" s="304">
        <v>0</v>
      </c>
      <c r="AB22" s="478">
        <v>27392</v>
      </c>
      <c r="AC22" s="478">
        <v>1156210.6000000001</v>
      </c>
      <c r="AD22" s="478">
        <f t="shared" si="13"/>
        <v>1183602.6000000001</v>
      </c>
      <c r="AE22" s="304">
        <v>0</v>
      </c>
      <c r="AF22" s="478">
        <v>1662.3</v>
      </c>
      <c r="AG22" s="478">
        <v>27485.9</v>
      </c>
      <c r="AH22" s="478">
        <f t="shared" si="14"/>
        <v>29148.2</v>
      </c>
      <c r="AI22" s="481">
        <v>29644</v>
      </c>
      <c r="AJ22" s="481">
        <v>316659</v>
      </c>
      <c r="AK22" s="481">
        <v>21196.3</v>
      </c>
      <c r="AL22" s="481">
        <f t="shared" si="15"/>
        <v>337855.3</v>
      </c>
      <c r="AM22" s="481">
        <f t="shared" si="16"/>
        <v>29644</v>
      </c>
      <c r="AN22" s="481">
        <f t="shared" si="16"/>
        <v>345713.3</v>
      </c>
      <c r="AO22" s="481">
        <f t="shared" si="16"/>
        <v>1204892.8</v>
      </c>
      <c r="AP22" s="481">
        <f t="shared" si="16"/>
        <v>1550606.1</v>
      </c>
      <c r="AQ22" s="319" t="s">
        <v>571</v>
      </c>
      <c r="AR22" s="478">
        <v>7042.2</v>
      </c>
      <c r="AS22" s="478">
        <v>75296.899999999994</v>
      </c>
      <c r="AT22" s="478">
        <v>39026.1</v>
      </c>
      <c r="AU22" s="478">
        <v>78.900000000000006</v>
      </c>
      <c r="AV22" s="478">
        <f>1472846.4-30.61</f>
        <v>1472815.7899999998</v>
      </c>
      <c r="AW22" s="478">
        <v>11710.4</v>
      </c>
      <c r="AX22" s="478">
        <f t="shared" si="17"/>
        <v>1484526.1899999997</v>
      </c>
      <c r="AY22" s="478">
        <f t="shared" si="28"/>
        <v>59381.047599999991</v>
      </c>
      <c r="AZ22" s="478">
        <f t="shared" si="18"/>
        <v>35757.491600000008</v>
      </c>
      <c r="BA22" s="481">
        <f>95141.5-2.9608</f>
        <v>95138.539199999999</v>
      </c>
      <c r="BB22" s="478">
        <v>4005371.6</v>
      </c>
      <c r="BC22" s="478">
        <f t="shared" si="19"/>
        <v>322810.23919999995</v>
      </c>
      <c r="BD22" s="901">
        <v>4126.8</v>
      </c>
      <c r="BE22" s="478">
        <v>27992.6</v>
      </c>
      <c r="BF22" s="478">
        <v>5827</v>
      </c>
      <c r="BG22" s="478">
        <v>312553.3</v>
      </c>
      <c r="BH22" s="478">
        <f t="shared" si="20"/>
        <v>350499.69999999995</v>
      </c>
      <c r="BI22" s="319" t="s">
        <v>571</v>
      </c>
      <c r="BJ22" s="310">
        <v>2.95</v>
      </c>
      <c r="BK22" s="310">
        <v>2.06</v>
      </c>
      <c r="BL22" s="310">
        <v>1.84</v>
      </c>
      <c r="BM22" s="310">
        <v>2.0099999999999998</v>
      </c>
      <c r="BN22" s="310">
        <v>1.6</v>
      </c>
      <c r="BO22" s="310" t="s">
        <v>298</v>
      </c>
      <c r="BP22" s="311">
        <v>3801</v>
      </c>
      <c r="BQ22" s="311">
        <v>1507</v>
      </c>
      <c r="BR22" s="311">
        <v>5428</v>
      </c>
      <c r="BS22" s="311">
        <v>67</v>
      </c>
      <c r="BT22" s="311">
        <f t="shared" si="21"/>
        <v>10803</v>
      </c>
      <c r="BU22" s="310">
        <f t="shared" si="22"/>
        <v>105.28174063098552</v>
      </c>
      <c r="BV22" s="310">
        <f t="shared" si="23"/>
        <v>136.33396186244559</v>
      </c>
      <c r="BW22" s="310">
        <f t="shared" si="24"/>
        <v>143.53476811996669</v>
      </c>
      <c r="BX22" s="310">
        <f t="shared" si="25"/>
        <v>7.6854036987205321</v>
      </c>
      <c r="BY22" s="310">
        <v>4</v>
      </c>
      <c r="BZ22" s="310">
        <v>4.08</v>
      </c>
      <c r="CA22" s="310">
        <v>7.24</v>
      </c>
      <c r="CB22" s="310">
        <f t="shared" si="26"/>
        <v>3.16</v>
      </c>
      <c r="CC22" s="310">
        <v>7.51</v>
      </c>
      <c r="CD22" s="310">
        <v>10.83</v>
      </c>
      <c r="CE22" s="310">
        <f t="shared" si="27"/>
        <v>3.3200000000000003</v>
      </c>
    </row>
    <row r="23" spans="1:83" s="170" customFormat="1" ht="11.1" customHeight="1">
      <c r="A23" s="168"/>
      <c r="B23" s="168"/>
      <c r="C23" s="168"/>
      <c r="D23" s="168"/>
      <c r="E23" s="168"/>
      <c r="F23" s="168"/>
      <c r="G23" s="168"/>
      <c r="H23" s="168"/>
      <c r="I23" s="168" t="s">
        <v>578</v>
      </c>
      <c r="J23" s="483">
        <v>224139.1</v>
      </c>
      <c r="K23" s="483">
        <v>1588.6</v>
      </c>
      <c r="L23" s="483">
        <f t="shared" si="7"/>
        <v>225727.7</v>
      </c>
      <c r="M23" s="483">
        <v>19832.5</v>
      </c>
      <c r="N23" s="483">
        <f t="shared" si="8"/>
        <v>205895.2</v>
      </c>
      <c r="O23" s="483">
        <v>34215.599999999999</v>
      </c>
      <c r="P23" s="483">
        <v>97606.2</v>
      </c>
      <c r="Q23" s="483">
        <v>158861.9</v>
      </c>
      <c r="R23" s="483">
        <v>1229200.5</v>
      </c>
      <c r="S23" s="483">
        <f t="shared" si="9"/>
        <v>1388062.4</v>
      </c>
      <c r="T23" s="483">
        <f t="shared" si="10"/>
        <v>1485668.5999999999</v>
      </c>
      <c r="U23" s="483">
        <v>502.8</v>
      </c>
      <c r="V23" s="483">
        <v>319958.2</v>
      </c>
      <c r="W23" s="483">
        <f t="shared" si="11"/>
        <v>365259.89999999997</v>
      </c>
      <c r="X23" s="483">
        <f t="shared" si="12"/>
        <v>1594460.4</v>
      </c>
      <c r="Y23" s="483">
        <v>1969268.9999999995</v>
      </c>
      <c r="Z23" s="168" t="s">
        <v>578</v>
      </c>
      <c r="AA23" s="239">
        <v>0</v>
      </c>
      <c r="AB23" s="483">
        <v>28402.400000000001</v>
      </c>
      <c r="AC23" s="483">
        <v>1164058.5</v>
      </c>
      <c r="AD23" s="483">
        <f t="shared" si="13"/>
        <v>1192460.8999999999</v>
      </c>
      <c r="AE23" s="239">
        <v>0</v>
      </c>
      <c r="AF23" s="483">
        <v>1671.1</v>
      </c>
      <c r="AG23" s="483">
        <v>28746.400000000001</v>
      </c>
      <c r="AH23" s="483">
        <f t="shared" si="14"/>
        <v>30417.5</v>
      </c>
      <c r="AI23" s="494">
        <v>29563.200000000001</v>
      </c>
      <c r="AJ23" s="494">
        <v>319525.09999999998</v>
      </c>
      <c r="AK23" s="494">
        <v>20969.8</v>
      </c>
      <c r="AL23" s="494">
        <f t="shared" si="15"/>
        <v>340494.89999999997</v>
      </c>
      <c r="AM23" s="494">
        <f t="shared" si="16"/>
        <v>29563.200000000001</v>
      </c>
      <c r="AN23" s="494">
        <f t="shared" si="16"/>
        <v>349598.6</v>
      </c>
      <c r="AO23" s="494">
        <f t="shared" si="16"/>
        <v>1213774.7</v>
      </c>
      <c r="AP23" s="494">
        <f t="shared" si="16"/>
        <v>1563373.2999999998</v>
      </c>
      <c r="AQ23" s="168" t="s">
        <v>578</v>
      </c>
      <c r="AR23" s="483">
        <v>7012.9</v>
      </c>
      <c r="AS23" s="483">
        <v>74952.2</v>
      </c>
      <c r="AT23" s="483">
        <v>40027.1</v>
      </c>
      <c r="AU23" s="483">
        <v>123.1</v>
      </c>
      <c r="AV23" s="483">
        <f>1485750.5-30.99</f>
        <v>1485719.51</v>
      </c>
      <c r="AW23" s="483">
        <v>11572</v>
      </c>
      <c r="AX23" s="483">
        <f t="shared" si="17"/>
        <v>1497291.51</v>
      </c>
      <c r="AY23" s="483">
        <f t="shared" si="28"/>
        <v>59891.660400000001</v>
      </c>
      <c r="AZ23" s="483">
        <f t="shared" si="18"/>
        <v>33833.063399999992</v>
      </c>
      <c r="BA23" s="483">
        <f>93727.7-2.9762</f>
        <v>93724.723799999992</v>
      </c>
      <c r="BB23" s="483">
        <v>4083549.8</v>
      </c>
      <c r="BC23" s="483">
        <f t="shared" si="19"/>
        <v>319452.42379999999</v>
      </c>
      <c r="BD23" s="242">
        <v>4126.8</v>
      </c>
      <c r="BE23" s="483">
        <v>28091.4</v>
      </c>
      <c r="BF23" s="483">
        <v>6542.3</v>
      </c>
      <c r="BG23" s="483">
        <v>314767.59999999998</v>
      </c>
      <c r="BH23" s="483">
        <f t="shared" si="20"/>
        <v>353528.1</v>
      </c>
      <c r="BI23" s="168" t="s">
        <v>578</v>
      </c>
      <c r="BJ23" s="268">
        <v>4.5</v>
      </c>
      <c r="BK23" s="268">
        <v>5.23</v>
      </c>
      <c r="BL23" s="268">
        <v>2.58</v>
      </c>
      <c r="BM23" s="268">
        <v>2.93</v>
      </c>
      <c r="BN23" s="268">
        <v>2.15</v>
      </c>
      <c r="BO23" s="268" t="s">
        <v>298</v>
      </c>
      <c r="BP23" s="397">
        <v>3801</v>
      </c>
      <c r="BQ23" s="397">
        <v>1507</v>
      </c>
      <c r="BR23" s="397">
        <v>5443</v>
      </c>
      <c r="BS23" s="397">
        <v>67</v>
      </c>
      <c r="BT23" s="397">
        <f t="shared" si="21"/>
        <v>10818</v>
      </c>
      <c r="BU23" s="268">
        <f t="shared" si="22"/>
        <v>105.22667902503345</v>
      </c>
      <c r="BV23" s="268">
        <f t="shared" si="23"/>
        <v>137.33772508781661</v>
      </c>
      <c r="BW23" s="268">
        <f t="shared" si="24"/>
        <v>144.51592715843961</v>
      </c>
      <c r="BX23" s="268">
        <f t="shared" si="25"/>
        <v>7.643247802541139</v>
      </c>
      <c r="BY23" s="268">
        <v>4</v>
      </c>
      <c r="BZ23" s="268">
        <v>4.01</v>
      </c>
      <c r="CA23" s="268">
        <v>7.15</v>
      </c>
      <c r="CB23" s="268">
        <f t="shared" si="26"/>
        <v>3.1400000000000006</v>
      </c>
      <c r="CC23" s="268">
        <v>7.55</v>
      </c>
      <c r="CD23" s="268">
        <v>10.73</v>
      </c>
      <c r="CE23" s="268">
        <f t="shared" si="27"/>
        <v>3.1800000000000006</v>
      </c>
    </row>
    <row r="24" spans="1:83" s="170" customFormat="1" ht="11.1" customHeight="1">
      <c r="A24" s="168"/>
      <c r="B24" s="168"/>
      <c r="C24" s="168"/>
      <c r="D24" s="168"/>
      <c r="E24" s="168"/>
      <c r="F24" s="168"/>
      <c r="G24" s="168"/>
      <c r="H24" s="168"/>
      <c r="I24" s="319" t="s">
        <v>579</v>
      </c>
      <c r="J24" s="478">
        <v>225421.6</v>
      </c>
      <c r="K24" s="478">
        <v>1595.5</v>
      </c>
      <c r="L24" s="478">
        <f t="shared" si="7"/>
        <v>227017.1</v>
      </c>
      <c r="M24" s="478">
        <v>18720.7</v>
      </c>
      <c r="N24" s="478">
        <f>L24-M24</f>
        <v>208296.4</v>
      </c>
      <c r="O24" s="478">
        <v>34682.400000000001</v>
      </c>
      <c r="P24" s="478">
        <v>98931.7</v>
      </c>
      <c r="Q24" s="478">
        <v>159607.4</v>
      </c>
      <c r="R24" s="478">
        <v>1234131.1000000001</v>
      </c>
      <c r="S24" s="478">
        <f t="shared" si="9"/>
        <v>1393738.5</v>
      </c>
      <c r="T24" s="478">
        <f t="shared" si="10"/>
        <v>1492670.2</v>
      </c>
      <c r="U24" s="478">
        <v>497.4</v>
      </c>
      <c r="V24" s="478">
        <v>332488.80000000005</v>
      </c>
      <c r="W24" s="478">
        <f t="shared" si="11"/>
        <v>368401.2</v>
      </c>
      <c r="X24" s="478">
        <f t="shared" si="12"/>
        <v>1602532.3</v>
      </c>
      <c r="Y24" s="478">
        <v>1978874.9</v>
      </c>
      <c r="Z24" s="319" t="s">
        <v>579</v>
      </c>
      <c r="AA24" s="304">
        <v>0</v>
      </c>
      <c r="AB24" s="478">
        <v>30374.799999999999</v>
      </c>
      <c r="AC24" s="478">
        <v>1175868.5</v>
      </c>
      <c r="AD24" s="478">
        <f t="shared" si="13"/>
        <v>1206243.3</v>
      </c>
      <c r="AE24" s="304">
        <v>0</v>
      </c>
      <c r="AF24" s="478">
        <v>1767.9</v>
      </c>
      <c r="AG24" s="478">
        <v>30478.3</v>
      </c>
      <c r="AH24" s="478">
        <f t="shared" si="14"/>
        <v>32246.2</v>
      </c>
      <c r="AI24" s="481">
        <v>30365.5</v>
      </c>
      <c r="AJ24" s="481">
        <v>320763.40000000002</v>
      </c>
      <c r="AK24" s="481">
        <v>22178.6</v>
      </c>
      <c r="AL24" s="481">
        <f t="shared" si="15"/>
        <v>342942</v>
      </c>
      <c r="AM24" s="481">
        <f t="shared" si="16"/>
        <v>30365.5</v>
      </c>
      <c r="AN24" s="481">
        <f t="shared" si="16"/>
        <v>352906.10000000003</v>
      </c>
      <c r="AO24" s="481">
        <f t="shared" si="16"/>
        <v>1228525.4000000001</v>
      </c>
      <c r="AP24" s="481">
        <f t="shared" si="16"/>
        <v>1581431.5</v>
      </c>
      <c r="AQ24" s="319" t="s">
        <v>579</v>
      </c>
      <c r="AR24" s="478">
        <v>7246.6</v>
      </c>
      <c r="AS24" s="478">
        <v>75363.100000000006</v>
      </c>
      <c r="AT24" s="478">
        <v>37050.5</v>
      </c>
      <c r="AU24" s="478">
        <v>123.2</v>
      </c>
      <c r="AV24" s="478">
        <f>1492760.1-30.95</f>
        <v>1492729.1500000001</v>
      </c>
      <c r="AW24" s="478">
        <v>12256.2</v>
      </c>
      <c r="AX24" s="478">
        <f t="shared" si="17"/>
        <v>1504985.35</v>
      </c>
      <c r="AY24" s="478">
        <f t="shared" si="28"/>
        <v>60199.414000000004</v>
      </c>
      <c r="AZ24" s="478">
        <f t="shared" si="18"/>
        <v>44770.388299999991</v>
      </c>
      <c r="BA24" s="478">
        <f>104974.3-4.4977</f>
        <v>104969.8023</v>
      </c>
      <c r="BB24" s="478">
        <v>4148172.6</v>
      </c>
      <c r="BC24" s="478">
        <f t="shared" si="19"/>
        <v>331986.90230000002</v>
      </c>
      <c r="BD24" s="901">
        <v>4126.8</v>
      </c>
      <c r="BE24" s="478">
        <v>27907.3</v>
      </c>
      <c r="BF24" s="478">
        <v>6958.7</v>
      </c>
      <c r="BG24" s="478">
        <v>316133</v>
      </c>
      <c r="BH24" s="478">
        <f t="shared" si="20"/>
        <v>355125.8</v>
      </c>
      <c r="BI24" s="319" t="s">
        <v>579</v>
      </c>
      <c r="BJ24" s="310">
        <v>8.6199999999999992</v>
      </c>
      <c r="BK24" s="310">
        <v>10.210000000000001</v>
      </c>
      <c r="BL24" s="310">
        <v>3.82</v>
      </c>
      <c r="BM24" s="310">
        <v>4.6900000000000004</v>
      </c>
      <c r="BN24" s="310">
        <v>2.63</v>
      </c>
      <c r="BO24" s="310" t="s">
        <v>298</v>
      </c>
      <c r="BP24" s="311">
        <v>3801</v>
      </c>
      <c r="BQ24" s="311">
        <v>1507</v>
      </c>
      <c r="BR24" s="311">
        <v>5467</v>
      </c>
      <c r="BS24" s="311">
        <v>67</v>
      </c>
      <c r="BT24" s="311">
        <f t="shared" si="21"/>
        <v>10842</v>
      </c>
      <c r="BU24" s="310">
        <f t="shared" si="22"/>
        <v>105.94229368402164</v>
      </c>
      <c r="BV24" s="310">
        <f t="shared" si="23"/>
        <v>137.68023888581445</v>
      </c>
      <c r="BW24" s="310">
        <f t="shared" si="24"/>
        <v>145.8616030252721</v>
      </c>
      <c r="BX24" s="310">
        <f t="shared" si="25"/>
        <v>8.286198624847648</v>
      </c>
      <c r="BY24" s="310">
        <v>4</v>
      </c>
      <c r="BZ24" s="310">
        <v>3.99</v>
      </c>
      <c r="CA24" s="310">
        <v>7.15</v>
      </c>
      <c r="CB24" s="310">
        <f t="shared" si="26"/>
        <v>3.16</v>
      </c>
      <c r="CC24" s="310">
        <v>7.52</v>
      </c>
      <c r="CD24" s="310">
        <v>10.64</v>
      </c>
      <c r="CE24" s="310">
        <f t="shared" si="27"/>
        <v>3.120000000000001</v>
      </c>
    </row>
    <row r="25" spans="1:83" s="170" customFormat="1" ht="11.1" customHeight="1">
      <c r="A25" s="168"/>
      <c r="B25" s="168"/>
      <c r="C25" s="168"/>
      <c r="D25" s="168"/>
      <c r="E25" s="168"/>
      <c r="F25" s="168"/>
      <c r="G25" s="168"/>
      <c r="H25" s="168"/>
      <c r="I25" s="168" t="s">
        <v>572</v>
      </c>
      <c r="J25" s="483">
        <v>227883.1</v>
      </c>
      <c r="K25" s="483">
        <v>1605.1</v>
      </c>
      <c r="L25" s="483">
        <f t="shared" si="7"/>
        <v>229488.2</v>
      </c>
      <c r="M25" s="483">
        <v>18765.099999999999</v>
      </c>
      <c r="N25" s="483">
        <f t="shared" si="8"/>
        <v>210723.1</v>
      </c>
      <c r="O25" s="483">
        <v>40197.5</v>
      </c>
      <c r="P25" s="483">
        <v>105697.2</v>
      </c>
      <c r="Q25" s="483">
        <v>168018.6</v>
      </c>
      <c r="R25" s="483">
        <v>1241324</v>
      </c>
      <c r="S25" s="483">
        <f t="shared" si="9"/>
        <v>1409342.6</v>
      </c>
      <c r="T25" s="483">
        <f t="shared" si="10"/>
        <v>1515039.8</v>
      </c>
      <c r="U25" s="483">
        <v>569.29999999999995</v>
      </c>
      <c r="V25" s="483">
        <v>323666.3</v>
      </c>
      <c r="W25" s="483">
        <f t="shared" si="11"/>
        <v>379311</v>
      </c>
      <c r="X25" s="483">
        <f t="shared" si="12"/>
        <v>1620635</v>
      </c>
      <c r="Y25" s="483">
        <v>1997049.6999999997</v>
      </c>
      <c r="Z25" s="168" t="s">
        <v>572</v>
      </c>
      <c r="AA25" s="239">
        <v>0</v>
      </c>
      <c r="AB25" s="483">
        <v>33387.9</v>
      </c>
      <c r="AC25" s="483">
        <v>1202693.8</v>
      </c>
      <c r="AD25" s="483">
        <f t="shared" si="13"/>
        <v>1236081.7</v>
      </c>
      <c r="AE25" s="239">
        <v>0</v>
      </c>
      <c r="AF25" s="483">
        <v>1790.4</v>
      </c>
      <c r="AG25" s="483">
        <v>29688.6</v>
      </c>
      <c r="AH25" s="483">
        <f t="shared" si="14"/>
        <v>31479</v>
      </c>
      <c r="AI25" s="494">
        <v>31563.9</v>
      </c>
      <c r="AJ25" s="494">
        <v>333765.40000000002</v>
      </c>
      <c r="AK25" s="494">
        <v>25167.8</v>
      </c>
      <c r="AL25" s="494">
        <f t="shared" si="15"/>
        <v>358933.2</v>
      </c>
      <c r="AM25" s="494">
        <f t="shared" si="16"/>
        <v>31563.9</v>
      </c>
      <c r="AN25" s="494">
        <f t="shared" si="16"/>
        <v>368943.7</v>
      </c>
      <c r="AO25" s="494">
        <f t="shared" si="16"/>
        <v>1257550.2000000002</v>
      </c>
      <c r="AP25" s="494">
        <f t="shared" si="16"/>
        <v>1626493.9</v>
      </c>
      <c r="AQ25" s="168" t="s">
        <v>572</v>
      </c>
      <c r="AR25" s="483">
        <v>8944.9</v>
      </c>
      <c r="AS25" s="483">
        <v>74935</v>
      </c>
      <c r="AT25" s="483">
        <v>36825.1</v>
      </c>
      <c r="AU25" s="483">
        <v>148.1</v>
      </c>
      <c r="AV25" s="483">
        <f>1515123.8-31.01</f>
        <v>1515092.79</v>
      </c>
      <c r="AW25" s="483">
        <v>11745.1</v>
      </c>
      <c r="AX25" s="483">
        <f t="shared" si="17"/>
        <v>1526837.8900000001</v>
      </c>
      <c r="AY25" s="483">
        <f t="shared" si="28"/>
        <v>61073.515600000006</v>
      </c>
      <c r="AZ25" s="483">
        <f t="shared" si="18"/>
        <v>32530.287499999999</v>
      </c>
      <c r="BA25" s="483">
        <f>93608.8-4.9969</f>
        <v>93603.803100000005</v>
      </c>
      <c r="BB25" s="483">
        <v>3978771.9</v>
      </c>
      <c r="BC25" s="483">
        <f t="shared" si="19"/>
        <v>323092.00310000003</v>
      </c>
      <c r="BD25" s="242">
        <v>4126.8</v>
      </c>
      <c r="BE25" s="483">
        <v>27697.5</v>
      </c>
      <c r="BF25" s="483">
        <v>8513.2000000000007</v>
      </c>
      <c r="BG25" s="483">
        <v>329180.40000000002</v>
      </c>
      <c r="BH25" s="483">
        <f t="shared" si="20"/>
        <v>369517.9</v>
      </c>
      <c r="BI25" s="168" t="s">
        <v>572</v>
      </c>
      <c r="BJ25" s="268">
        <v>6.12</v>
      </c>
      <c r="BK25" s="268">
        <v>14.59</v>
      </c>
      <c r="BL25" s="268">
        <v>6.26</v>
      </c>
      <c r="BM25" s="268">
        <v>6.41</v>
      </c>
      <c r="BN25" s="268">
        <v>3.83</v>
      </c>
      <c r="BO25" s="268" t="s">
        <v>298</v>
      </c>
      <c r="BP25" s="397">
        <v>3810</v>
      </c>
      <c r="BQ25" s="397">
        <v>1512</v>
      </c>
      <c r="BR25" s="397">
        <v>5550</v>
      </c>
      <c r="BS25" s="397">
        <v>65</v>
      </c>
      <c r="BT25" s="397">
        <f t="shared" si="21"/>
        <v>10937</v>
      </c>
      <c r="BU25" s="268">
        <f t="shared" si="22"/>
        <v>107.35275824261561</v>
      </c>
      <c r="BV25" s="268">
        <f t="shared" si="23"/>
        <v>138.52910213038311</v>
      </c>
      <c r="BW25" s="268">
        <f t="shared" si="24"/>
        <v>148.71481210569624</v>
      </c>
      <c r="BX25" s="268">
        <f t="shared" si="25"/>
        <v>7.4166350629917526</v>
      </c>
      <c r="BY25" s="268">
        <v>4</v>
      </c>
      <c r="BZ25" s="268">
        <v>3.99</v>
      </c>
      <c r="CA25" s="268">
        <v>7.18</v>
      </c>
      <c r="CB25" s="268">
        <f t="shared" si="26"/>
        <v>3.1899999999999995</v>
      </c>
      <c r="CC25" s="268">
        <v>7.62</v>
      </c>
      <c r="CD25" s="268">
        <v>10.43</v>
      </c>
      <c r="CE25" s="268">
        <f t="shared" si="27"/>
        <v>2.8099999999999996</v>
      </c>
    </row>
    <row r="26" spans="1:83" s="170" customFormat="1" ht="11.1" customHeight="1">
      <c r="A26" s="168"/>
      <c r="B26" s="168"/>
      <c r="C26" s="168"/>
      <c r="D26" s="168"/>
      <c r="E26" s="168"/>
      <c r="F26" s="168"/>
      <c r="G26" s="168"/>
      <c r="H26" s="168"/>
      <c r="I26" s="319" t="s">
        <v>580</v>
      </c>
      <c r="J26" s="478">
        <v>229783.9</v>
      </c>
      <c r="K26" s="478">
        <v>1614.1</v>
      </c>
      <c r="L26" s="478">
        <f t="shared" si="7"/>
        <v>231398</v>
      </c>
      <c r="M26" s="478">
        <v>19620.8</v>
      </c>
      <c r="N26" s="478">
        <f t="shared" si="8"/>
        <v>211777.2</v>
      </c>
      <c r="O26" s="478">
        <v>36684.300000000003</v>
      </c>
      <c r="P26" s="478">
        <v>108030.7</v>
      </c>
      <c r="Q26" s="478">
        <v>160870.29999999999</v>
      </c>
      <c r="R26" s="478">
        <v>1240883.6000000001</v>
      </c>
      <c r="S26" s="478">
        <f t="shared" si="9"/>
        <v>1401753.9000000001</v>
      </c>
      <c r="T26" s="478">
        <f t="shared" si="10"/>
        <v>1509784.6</v>
      </c>
      <c r="U26" s="478">
        <v>589.20000000000005</v>
      </c>
      <c r="V26" s="478">
        <v>323298.90000000002</v>
      </c>
      <c r="W26" s="478">
        <f t="shared" si="11"/>
        <v>373236.7</v>
      </c>
      <c r="X26" s="478">
        <f t="shared" si="12"/>
        <v>1614120.3</v>
      </c>
      <c r="Y26" s="478">
        <v>1993234.6</v>
      </c>
      <c r="Z26" s="319" t="s">
        <v>580</v>
      </c>
      <c r="AA26" s="304">
        <v>0</v>
      </c>
      <c r="AB26" s="478">
        <v>35504.300000000003</v>
      </c>
      <c r="AC26" s="478">
        <v>1202929.3999999999</v>
      </c>
      <c r="AD26" s="478">
        <f t="shared" si="13"/>
        <v>1238433.7</v>
      </c>
      <c r="AE26" s="304">
        <v>0</v>
      </c>
      <c r="AF26" s="478">
        <v>1817.6</v>
      </c>
      <c r="AG26" s="478">
        <v>32525.3</v>
      </c>
      <c r="AH26" s="478">
        <f t="shared" si="14"/>
        <v>34342.9</v>
      </c>
      <c r="AI26" s="481">
        <v>31135.599999999999</v>
      </c>
      <c r="AJ26" s="481">
        <v>329563.3</v>
      </c>
      <c r="AK26" s="481">
        <v>25069.200000000001</v>
      </c>
      <c r="AL26" s="481">
        <f t="shared" si="15"/>
        <v>354632.5</v>
      </c>
      <c r="AM26" s="481">
        <f t="shared" si="16"/>
        <v>31135.599999999999</v>
      </c>
      <c r="AN26" s="481">
        <f t="shared" si="16"/>
        <v>366885.2</v>
      </c>
      <c r="AO26" s="481">
        <f t="shared" si="16"/>
        <v>1260523.8999999999</v>
      </c>
      <c r="AP26" s="481">
        <f t="shared" si="16"/>
        <v>1627409.0999999999</v>
      </c>
      <c r="AQ26" s="319" t="s">
        <v>580</v>
      </c>
      <c r="AR26" s="478">
        <v>8757</v>
      </c>
      <c r="AS26" s="478">
        <v>78639.899999999994</v>
      </c>
      <c r="AT26" s="478">
        <v>40736</v>
      </c>
      <c r="AU26" s="478">
        <v>152.69999999999999</v>
      </c>
      <c r="AV26" s="478">
        <f>1509880.2-30.93</f>
        <v>1509849.27</v>
      </c>
      <c r="AW26" s="478">
        <v>12698.7</v>
      </c>
      <c r="AX26" s="478">
        <f t="shared" si="17"/>
        <v>1522547.97</v>
      </c>
      <c r="AY26" s="478">
        <f t="shared" si="28"/>
        <v>60901.918799999999</v>
      </c>
      <c r="AZ26" s="478">
        <f t="shared" si="18"/>
        <v>30405.180099999998</v>
      </c>
      <c r="BA26" s="478">
        <f>91311.7-4.6011</f>
        <v>91307.098899999997</v>
      </c>
      <c r="BB26" s="478">
        <v>3968534.8</v>
      </c>
      <c r="BC26" s="478">
        <f t="shared" si="19"/>
        <v>322705.09889999998</v>
      </c>
      <c r="BD26" s="901">
        <v>4126.8</v>
      </c>
      <c r="BE26" s="478">
        <v>27671.9</v>
      </c>
      <c r="BF26" s="478">
        <v>9010.5</v>
      </c>
      <c r="BG26" s="478">
        <v>324975.5</v>
      </c>
      <c r="BH26" s="478">
        <f t="shared" si="20"/>
        <v>365784.7</v>
      </c>
      <c r="BI26" s="319" t="s">
        <v>580</v>
      </c>
      <c r="BJ26" s="310">
        <v>5</v>
      </c>
      <c r="BK26" s="310">
        <v>21.19</v>
      </c>
      <c r="BL26" s="310">
        <v>6.51</v>
      </c>
      <c r="BM26" s="310">
        <v>6.58</v>
      </c>
      <c r="BN26" s="310">
        <v>3.41</v>
      </c>
      <c r="BO26" s="310" t="s">
        <v>298</v>
      </c>
      <c r="BP26" s="311">
        <v>3810</v>
      </c>
      <c r="BQ26" s="311">
        <v>1512</v>
      </c>
      <c r="BR26" s="311">
        <v>5550</v>
      </c>
      <c r="BS26" s="311">
        <v>65</v>
      </c>
      <c r="BT26" s="311">
        <f t="shared" si="21"/>
        <v>10937</v>
      </c>
      <c r="BU26" s="310">
        <f>AP26/AV26*100</f>
        <v>107.78619643270748</v>
      </c>
      <c r="BV26" s="310">
        <f t="shared" si="23"/>
        <v>138.04967267075065</v>
      </c>
      <c r="BW26" s="310">
        <f t="shared" si="24"/>
        <v>148.79849135960501</v>
      </c>
      <c r="BX26" s="310">
        <f t="shared" si="25"/>
        <v>7.3469518516904673</v>
      </c>
      <c r="BY26" s="310">
        <v>4</v>
      </c>
      <c r="BZ26" s="310">
        <v>4.01</v>
      </c>
      <c r="CA26" s="310">
        <v>7.13</v>
      </c>
      <c r="CB26" s="310">
        <f t="shared" si="26"/>
        <v>3.12</v>
      </c>
      <c r="CC26" s="310">
        <v>7.55</v>
      </c>
      <c r="CD26" s="310">
        <v>10.59</v>
      </c>
      <c r="CE26" s="310">
        <f t="shared" si="27"/>
        <v>3.04</v>
      </c>
    </row>
    <row r="27" spans="1:83" s="170" customFormat="1" ht="11.1" customHeight="1">
      <c r="A27" s="168"/>
      <c r="B27" s="168"/>
      <c r="C27" s="168"/>
      <c r="D27" s="168"/>
      <c r="E27" s="168"/>
      <c r="F27" s="168"/>
      <c r="G27" s="168"/>
      <c r="H27" s="168"/>
      <c r="I27" s="168" t="s">
        <v>581</v>
      </c>
      <c r="J27" s="483">
        <v>231253.1</v>
      </c>
      <c r="K27" s="483">
        <v>1621.5</v>
      </c>
      <c r="L27" s="483">
        <f t="shared" si="7"/>
        <v>232874.6</v>
      </c>
      <c r="M27" s="483">
        <v>20604.400000000001</v>
      </c>
      <c r="N27" s="483">
        <f t="shared" si="8"/>
        <v>212270.2</v>
      </c>
      <c r="O27" s="483">
        <v>35772.699999999997</v>
      </c>
      <c r="P27" s="483">
        <v>107170.6</v>
      </c>
      <c r="Q27" s="483">
        <v>159009.70000000001</v>
      </c>
      <c r="R27" s="483">
        <v>1249163</v>
      </c>
      <c r="S27" s="483">
        <f t="shared" si="9"/>
        <v>1408172.7</v>
      </c>
      <c r="T27" s="483">
        <f t="shared" si="10"/>
        <v>1515343.3</v>
      </c>
      <c r="U27" s="483">
        <v>493.8</v>
      </c>
      <c r="V27" s="483">
        <v>322285.09999999998</v>
      </c>
      <c r="W27" s="483">
        <f t="shared" si="11"/>
        <v>371773.7</v>
      </c>
      <c r="X27" s="483">
        <f t="shared" si="12"/>
        <v>1620936.7</v>
      </c>
      <c r="Y27" s="483">
        <v>2003903.4</v>
      </c>
      <c r="Z27" s="168" t="s">
        <v>581</v>
      </c>
      <c r="AA27" s="239">
        <v>0</v>
      </c>
      <c r="AB27" s="483">
        <v>34959.800000000003</v>
      </c>
      <c r="AC27" s="483">
        <v>1215791.3999999999</v>
      </c>
      <c r="AD27" s="483">
        <f t="shared" si="13"/>
        <v>1250751.2</v>
      </c>
      <c r="AE27" s="239">
        <v>0</v>
      </c>
      <c r="AF27" s="483">
        <v>1895.5</v>
      </c>
      <c r="AG27" s="483">
        <v>32039.9</v>
      </c>
      <c r="AH27" s="483">
        <f t="shared" si="14"/>
        <v>33935.4</v>
      </c>
      <c r="AI27" s="494">
        <v>30964.7</v>
      </c>
      <c r="AJ27" s="494">
        <v>328946.7</v>
      </c>
      <c r="AK27" s="494">
        <v>25258</v>
      </c>
      <c r="AL27" s="494">
        <f t="shared" si="15"/>
        <v>354204.7</v>
      </c>
      <c r="AM27" s="494">
        <f t="shared" si="16"/>
        <v>30964.7</v>
      </c>
      <c r="AN27" s="494">
        <f t="shared" si="16"/>
        <v>365802</v>
      </c>
      <c r="AO27" s="494">
        <f t="shared" si="16"/>
        <v>1273089.2999999998</v>
      </c>
      <c r="AP27" s="494">
        <f t="shared" si="16"/>
        <v>1638891.2999999998</v>
      </c>
      <c r="AQ27" s="168" t="s">
        <v>581</v>
      </c>
      <c r="AR27" s="483">
        <v>8036.3</v>
      </c>
      <c r="AS27" s="483">
        <v>79918.600000000006</v>
      </c>
      <c r="AT27" s="483">
        <v>41661.800000000003</v>
      </c>
      <c r="AU27" s="483">
        <v>474.8</v>
      </c>
      <c r="AV27" s="483">
        <f>1515434.3-30.25</f>
        <v>1515404.05</v>
      </c>
      <c r="AW27" s="483">
        <v>13305.3</v>
      </c>
      <c r="AX27" s="483">
        <f t="shared" si="17"/>
        <v>1528709.35</v>
      </c>
      <c r="AY27" s="483">
        <f t="shared" si="28"/>
        <v>61148.374000000003</v>
      </c>
      <c r="AZ27" s="483">
        <f t="shared" si="18"/>
        <v>27763.788299999993</v>
      </c>
      <c r="BA27" s="483">
        <f>88916.7-4.5377</f>
        <v>88912.162299999996</v>
      </c>
      <c r="BB27" s="483">
        <v>4063379.5</v>
      </c>
      <c r="BC27" s="483">
        <f t="shared" si="19"/>
        <v>321786.7623</v>
      </c>
      <c r="BD27" s="242">
        <v>4126.8</v>
      </c>
      <c r="BE27" s="483">
        <v>27787.1</v>
      </c>
      <c r="BF27" s="483">
        <v>8954.9</v>
      </c>
      <c r="BG27" s="483">
        <v>324415.5</v>
      </c>
      <c r="BH27" s="483">
        <f t="shared" si="20"/>
        <v>365284.3</v>
      </c>
      <c r="BI27" s="168" t="s">
        <v>581</v>
      </c>
      <c r="BJ27" s="268">
        <v>4.72</v>
      </c>
      <c r="BK27" s="268">
        <v>19.649999999999999</v>
      </c>
      <c r="BL27" s="268">
        <v>7.57</v>
      </c>
      <c r="BM27" s="268">
        <v>7.39</v>
      </c>
      <c r="BN27" s="268">
        <v>3.85</v>
      </c>
      <c r="BO27" s="268" t="s">
        <v>298</v>
      </c>
      <c r="BP27" s="397">
        <v>3810</v>
      </c>
      <c r="BQ27" s="397">
        <v>1512</v>
      </c>
      <c r="BR27" s="397">
        <v>5551</v>
      </c>
      <c r="BS27" s="397">
        <v>65</v>
      </c>
      <c r="BT27" s="397">
        <f t="shared" si="21"/>
        <v>10938</v>
      </c>
      <c r="BU27" s="268">
        <f t="shared" ref="BU27:BU29" si="29">AP27/AV27*100</f>
        <v>108.14880031500509</v>
      </c>
      <c r="BV27" s="268">
        <f t="shared" si="23"/>
        <v>138.54489394770525</v>
      </c>
      <c r="BW27" s="268">
        <f t="shared" si="24"/>
        <v>149.83464070213932</v>
      </c>
      <c r="BX27" s="268">
        <f t="shared" si="25"/>
        <v>7.2268885845989379</v>
      </c>
      <c r="BY27" s="268">
        <v>4</v>
      </c>
      <c r="BZ27" s="268">
        <v>4.0199999999999996</v>
      </c>
      <c r="CA27" s="268">
        <v>7.1</v>
      </c>
      <c r="CB27" s="268">
        <f t="shared" si="26"/>
        <v>3.08</v>
      </c>
      <c r="CC27" s="268">
        <v>7.35</v>
      </c>
      <c r="CD27" s="268">
        <v>10.37</v>
      </c>
      <c r="CE27" s="268">
        <f t="shared" si="27"/>
        <v>3.0199999999999996</v>
      </c>
    </row>
    <row r="28" spans="1:83" s="170" customFormat="1" ht="11.1" customHeight="1">
      <c r="A28" s="168"/>
      <c r="B28" s="168"/>
      <c r="C28" s="168"/>
      <c r="D28" s="168"/>
      <c r="E28" s="778"/>
      <c r="F28" s="778"/>
      <c r="G28" s="168"/>
      <c r="H28" s="168"/>
      <c r="I28" s="319" t="s">
        <v>573</v>
      </c>
      <c r="J28" s="478">
        <v>230291.6</v>
      </c>
      <c r="K28" s="478">
        <v>1632.2</v>
      </c>
      <c r="L28" s="478">
        <f t="shared" si="7"/>
        <v>231923.80000000002</v>
      </c>
      <c r="M28" s="478">
        <v>19237.099999999999</v>
      </c>
      <c r="N28" s="478">
        <f t="shared" si="8"/>
        <v>212686.7</v>
      </c>
      <c r="O28" s="478">
        <v>38486.800000000003</v>
      </c>
      <c r="P28" s="478">
        <v>105652.7</v>
      </c>
      <c r="Q28" s="478">
        <v>162330.1</v>
      </c>
      <c r="R28" s="478">
        <v>1254351.1000000001</v>
      </c>
      <c r="S28" s="478">
        <f t="shared" si="9"/>
        <v>1416681.2000000002</v>
      </c>
      <c r="T28" s="478">
        <f t="shared" si="10"/>
        <v>1522333.9000000001</v>
      </c>
      <c r="U28" s="478">
        <v>538.4</v>
      </c>
      <c r="V28" s="478">
        <v>321156.20000000007</v>
      </c>
      <c r="W28" s="478">
        <f t="shared" si="11"/>
        <v>375555.20000000007</v>
      </c>
      <c r="X28" s="478">
        <f t="shared" si="12"/>
        <v>1629906.3000000003</v>
      </c>
      <c r="Y28" s="478">
        <v>2015073.2</v>
      </c>
      <c r="Z28" s="319" t="s">
        <v>573</v>
      </c>
      <c r="AA28" s="304">
        <v>0</v>
      </c>
      <c r="AB28" s="478">
        <v>35907.599999999999</v>
      </c>
      <c r="AC28" s="478">
        <v>1227114.7</v>
      </c>
      <c r="AD28" s="478">
        <f t="shared" si="13"/>
        <v>1263022.3</v>
      </c>
      <c r="AE28" s="304">
        <v>0</v>
      </c>
      <c r="AF28" s="478">
        <v>1903.6</v>
      </c>
      <c r="AG28" s="478">
        <v>33119.1</v>
      </c>
      <c r="AH28" s="478">
        <f t="shared" si="14"/>
        <v>35022.699999999997</v>
      </c>
      <c r="AI28" s="481">
        <v>30946.2</v>
      </c>
      <c r="AJ28" s="481">
        <v>324861.8</v>
      </c>
      <c r="AK28" s="481">
        <v>25420.5</v>
      </c>
      <c r="AL28" s="481">
        <f t="shared" si="15"/>
        <v>350282.3</v>
      </c>
      <c r="AM28" s="481">
        <f t="shared" si="16"/>
        <v>30946.2</v>
      </c>
      <c r="AN28" s="481">
        <f t="shared" si="16"/>
        <v>362673</v>
      </c>
      <c r="AO28" s="481">
        <f t="shared" si="16"/>
        <v>1285654.3</v>
      </c>
      <c r="AP28" s="481">
        <f t="shared" si="16"/>
        <v>1648327.3</v>
      </c>
      <c r="AQ28" s="319" t="s">
        <v>573</v>
      </c>
      <c r="AR28" s="478">
        <v>7181.5</v>
      </c>
      <c r="AS28" s="478">
        <v>84572.4</v>
      </c>
      <c r="AT28" s="478">
        <v>40241.300000000003</v>
      </c>
      <c r="AU28" s="478">
        <v>162.1</v>
      </c>
      <c r="AV28" s="478">
        <f>1522422.1-30.59</f>
        <v>1522391.51</v>
      </c>
      <c r="AW28" s="478">
        <v>13324.2</v>
      </c>
      <c r="AX28" s="478">
        <f t="shared" si="17"/>
        <v>1535715.71</v>
      </c>
      <c r="AY28" s="478">
        <f t="shared" si="28"/>
        <v>61428.628400000001</v>
      </c>
      <c r="AZ28" s="478">
        <f t="shared" si="18"/>
        <v>27257.088699999993</v>
      </c>
      <c r="BA28" s="478">
        <f>88694-8.2829</f>
        <v>88685.717099999994</v>
      </c>
      <c r="BB28" s="478">
        <v>4092218.6</v>
      </c>
      <c r="BC28" s="478">
        <f t="shared" si="19"/>
        <v>320609.5171</v>
      </c>
      <c r="BD28" s="901">
        <v>4126.8</v>
      </c>
      <c r="BE28" s="478">
        <v>27480.6</v>
      </c>
      <c r="BF28" s="478">
        <v>10052.700000000001</v>
      </c>
      <c r="BG28" s="478">
        <v>320330</v>
      </c>
      <c r="BH28" s="478">
        <f t="shared" si="20"/>
        <v>361990.1</v>
      </c>
      <c r="BI28" s="319" t="s">
        <v>573</v>
      </c>
      <c r="BJ28" s="310">
        <v>6.55</v>
      </c>
      <c r="BK28" s="310">
        <v>19.190000000000001</v>
      </c>
      <c r="BL28" s="310">
        <v>8.6300000000000008</v>
      </c>
      <c r="BM28" s="310">
        <v>8.5299999999999994</v>
      </c>
      <c r="BN28" s="310">
        <v>4.42</v>
      </c>
      <c r="BO28" s="310" t="s">
        <v>298</v>
      </c>
      <c r="BP28" s="311">
        <v>3812</v>
      </c>
      <c r="BQ28" s="311">
        <v>1512</v>
      </c>
      <c r="BR28" s="311">
        <v>5553</v>
      </c>
      <c r="BS28" s="311">
        <v>65</v>
      </c>
      <c r="BT28" s="311">
        <f t="shared" si="21"/>
        <v>10942</v>
      </c>
      <c r="BU28" s="310">
        <f t="shared" si="29"/>
        <v>108.27223412458468</v>
      </c>
      <c r="BV28" s="310">
        <f t="shared" si="23"/>
        <v>139.13283768963626</v>
      </c>
      <c r="BW28" s="310">
        <f t="shared" si="24"/>
        <v>150.64223176750139</v>
      </c>
      <c r="BX28" s="310">
        <f t="shared" si="25"/>
        <v>7.0890317235150633</v>
      </c>
      <c r="BY28" s="310">
        <v>4</v>
      </c>
      <c r="BZ28" s="310">
        <v>4.01</v>
      </c>
      <c r="CA28" s="310">
        <v>7.11</v>
      </c>
      <c r="CB28" s="310">
        <f t="shared" si="26"/>
        <v>3.1000000000000005</v>
      </c>
      <c r="CC28" s="310">
        <v>7.36</v>
      </c>
      <c r="CD28" s="310">
        <v>10.220000000000001</v>
      </c>
      <c r="CE28" s="310">
        <f t="shared" si="27"/>
        <v>2.8600000000000003</v>
      </c>
    </row>
    <row r="29" spans="1:83" s="170" customFormat="1" ht="11.1" customHeight="1">
      <c r="A29" s="168"/>
      <c r="B29" s="168"/>
      <c r="C29" s="168"/>
      <c r="D29" s="168"/>
      <c r="E29" s="778"/>
      <c r="F29" s="778"/>
      <c r="G29" s="168"/>
      <c r="H29" s="168"/>
      <c r="I29" s="168" t="s">
        <v>582</v>
      </c>
      <c r="J29" s="483">
        <v>254121.9</v>
      </c>
      <c r="K29" s="483">
        <v>1643.4</v>
      </c>
      <c r="L29" s="483">
        <f t="shared" si="7"/>
        <v>255765.3</v>
      </c>
      <c r="M29" s="483">
        <v>18973.400000000001</v>
      </c>
      <c r="N29" s="483">
        <f t="shared" si="8"/>
        <v>236791.9</v>
      </c>
      <c r="O29" s="483">
        <v>34621.599999999999</v>
      </c>
      <c r="P29" s="483">
        <v>104699.9</v>
      </c>
      <c r="Q29" s="483">
        <v>165949.1</v>
      </c>
      <c r="R29" s="483">
        <v>1260435.1000000001</v>
      </c>
      <c r="S29" s="483">
        <f t="shared" si="9"/>
        <v>1426384.2000000002</v>
      </c>
      <c r="T29" s="483">
        <f t="shared" si="10"/>
        <v>1531084.1</v>
      </c>
      <c r="U29" s="483">
        <v>528.5</v>
      </c>
      <c r="V29" s="483">
        <v>339789.3</v>
      </c>
      <c r="W29" s="483">
        <f t="shared" si="11"/>
        <v>403269.5</v>
      </c>
      <c r="X29" s="483">
        <f t="shared" si="12"/>
        <v>1663704.6</v>
      </c>
      <c r="Y29" s="483">
        <v>2051227</v>
      </c>
      <c r="Z29" s="168" t="s">
        <v>582</v>
      </c>
      <c r="AA29" s="239">
        <v>0</v>
      </c>
      <c r="AB29" s="483">
        <v>36425.4</v>
      </c>
      <c r="AC29" s="483">
        <v>1243034</v>
      </c>
      <c r="AD29" s="483">
        <f t="shared" si="13"/>
        <v>1279459.3999999999</v>
      </c>
      <c r="AE29" s="239">
        <v>0</v>
      </c>
      <c r="AF29" s="483">
        <v>1920.9</v>
      </c>
      <c r="AG29" s="483">
        <v>34703</v>
      </c>
      <c r="AH29" s="483">
        <f t="shared" si="14"/>
        <v>36623.9</v>
      </c>
      <c r="AI29" s="494">
        <v>30835.1</v>
      </c>
      <c r="AJ29" s="494">
        <v>324832.90000000002</v>
      </c>
      <c r="AK29" s="494">
        <v>25995.9</v>
      </c>
      <c r="AL29" s="494">
        <f t="shared" si="15"/>
        <v>350828.80000000005</v>
      </c>
      <c r="AM29" s="494">
        <f t="shared" si="16"/>
        <v>30835.1</v>
      </c>
      <c r="AN29" s="494">
        <f t="shared" si="16"/>
        <v>363179.2</v>
      </c>
      <c r="AO29" s="494">
        <f t="shared" si="16"/>
        <v>1303732.8999999999</v>
      </c>
      <c r="AP29" s="494">
        <f t="shared" si="16"/>
        <v>1666912.0999999999</v>
      </c>
      <c r="AQ29" s="168" t="s">
        <v>582</v>
      </c>
      <c r="AR29" s="483">
        <v>8845.9</v>
      </c>
      <c r="AS29" s="483">
        <v>90699.8</v>
      </c>
      <c r="AT29" s="483">
        <v>39707.5</v>
      </c>
      <c r="AU29" s="483">
        <v>351.4</v>
      </c>
      <c r="AV29" s="483">
        <f>1531149.1-30.78</f>
        <v>1531118.32</v>
      </c>
      <c r="AW29" s="483">
        <v>13964.2</v>
      </c>
      <c r="AX29" s="483">
        <f t="shared" si="17"/>
        <v>1545082.52</v>
      </c>
      <c r="AY29" s="483">
        <f t="shared" si="28"/>
        <v>61803.300800000005</v>
      </c>
      <c r="AZ29" s="483">
        <f t="shared" si="18"/>
        <v>21684.203600000001</v>
      </c>
      <c r="BA29" s="483">
        <f>83495.5-7.9956</f>
        <v>83487.504400000005</v>
      </c>
      <c r="BB29" s="483">
        <v>4152103.2</v>
      </c>
      <c r="BC29" s="483">
        <f t="shared" si="19"/>
        <v>339252.80440000002</v>
      </c>
      <c r="BD29" s="242">
        <v>6016.5</v>
      </c>
      <c r="BE29" s="483">
        <v>31711.8</v>
      </c>
      <c r="BF29" s="483">
        <v>10466.700000000001</v>
      </c>
      <c r="BG29" s="483">
        <v>320297.90000000002</v>
      </c>
      <c r="BH29" s="483">
        <f t="shared" si="20"/>
        <v>368492.9</v>
      </c>
      <c r="BI29" s="168" t="s">
        <v>582</v>
      </c>
      <c r="BJ29" s="268">
        <v>15.16</v>
      </c>
      <c r="BK29" s="268">
        <v>19.63</v>
      </c>
      <c r="BL29" s="268">
        <v>10.16</v>
      </c>
      <c r="BM29" s="268">
        <v>11.12</v>
      </c>
      <c r="BN29" s="268">
        <v>6.59</v>
      </c>
      <c r="BO29" s="268" t="s">
        <v>298</v>
      </c>
      <c r="BP29" s="397">
        <v>3812</v>
      </c>
      <c r="BQ29" s="397">
        <v>1512</v>
      </c>
      <c r="BR29" s="397">
        <v>5553</v>
      </c>
      <c r="BS29" s="397">
        <v>65</v>
      </c>
      <c r="BT29" s="397">
        <f t="shared" si="21"/>
        <v>10942</v>
      </c>
      <c r="BU29" s="268">
        <f t="shared" si="29"/>
        <v>108.8689279088503</v>
      </c>
      <c r="BV29" s="268">
        <f t="shared" si="23"/>
        <v>139.93038932553463</v>
      </c>
      <c r="BW29" s="268">
        <f t="shared" si="24"/>
        <v>152.34071467738985</v>
      </c>
      <c r="BX29" s="268">
        <f t="shared" si="25"/>
        <v>6.6918998395891442</v>
      </c>
      <c r="BY29" s="268">
        <v>4</v>
      </c>
      <c r="BZ29" s="268">
        <v>4.0199999999999996</v>
      </c>
      <c r="CA29" s="268">
        <v>7.09</v>
      </c>
      <c r="CB29" s="268">
        <f t="shared" si="26"/>
        <v>3.0700000000000003</v>
      </c>
      <c r="CC29" s="268">
        <v>7.41</v>
      </c>
      <c r="CD29" s="268">
        <v>10.09</v>
      </c>
      <c r="CE29" s="268">
        <f t="shared" si="27"/>
        <v>2.6799999999999997</v>
      </c>
    </row>
    <row r="30" spans="1:83" s="170" customFormat="1" ht="11.1" customHeight="1">
      <c r="A30" s="168"/>
      <c r="B30" s="168"/>
      <c r="C30" s="168"/>
      <c r="D30" s="168"/>
      <c r="E30" s="778"/>
      <c r="F30" s="778"/>
      <c r="G30" s="168"/>
      <c r="H30" s="168"/>
      <c r="I30" s="319" t="s">
        <v>583</v>
      </c>
      <c r="J30" s="478">
        <v>243684</v>
      </c>
      <c r="K30" s="478">
        <v>1651.4</v>
      </c>
      <c r="L30" s="478">
        <f t="shared" si="7"/>
        <v>245335.4</v>
      </c>
      <c r="M30" s="478">
        <v>20187.3</v>
      </c>
      <c r="N30" s="478">
        <f t="shared" si="8"/>
        <v>225148.1</v>
      </c>
      <c r="O30" s="478">
        <v>35499.9</v>
      </c>
      <c r="P30" s="478">
        <v>106025.4</v>
      </c>
      <c r="Q30" s="478">
        <v>169169</v>
      </c>
      <c r="R30" s="478">
        <v>1267775.8</v>
      </c>
      <c r="S30" s="478">
        <f t="shared" si="9"/>
        <v>1436944.8</v>
      </c>
      <c r="T30" s="478">
        <f t="shared" si="10"/>
        <v>1542970.2</v>
      </c>
      <c r="U30" s="478">
        <v>544.20000000000005</v>
      </c>
      <c r="V30" s="478">
        <v>330829.40000000002</v>
      </c>
      <c r="W30" s="478">
        <f t="shared" si="11"/>
        <v>394861.3</v>
      </c>
      <c r="X30" s="478">
        <f t="shared" si="12"/>
        <v>1662637.1</v>
      </c>
      <c r="Y30" s="478">
        <v>2051973.3</v>
      </c>
      <c r="Z30" s="319" t="s">
        <v>583</v>
      </c>
      <c r="AA30" s="304">
        <v>0</v>
      </c>
      <c r="AB30" s="478">
        <v>38938.6</v>
      </c>
      <c r="AC30" s="478">
        <v>1257049.8999999999</v>
      </c>
      <c r="AD30" s="478">
        <f t="shared" si="13"/>
        <v>1295988.5</v>
      </c>
      <c r="AE30" s="304">
        <v>0</v>
      </c>
      <c r="AF30" s="478">
        <v>1950.6</v>
      </c>
      <c r="AG30" s="478">
        <v>34271.300000000003</v>
      </c>
      <c r="AH30" s="478">
        <f t="shared" si="14"/>
        <v>36221.9</v>
      </c>
      <c r="AI30" s="481">
        <v>30747.5</v>
      </c>
      <c r="AJ30" s="481">
        <v>325298.40000000002</v>
      </c>
      <c r="AK30" s="481">
        <v>26321.200000000001</v>
      </c>
      <c r="AL30" s="481">
        <f t="shared" si="15"/>
        <v>351619.60000000003</v>
      </c>
      <c r="AM30" s="481">
        <f t="shared" si="16"/>
        <v>30747.5</v>
      </c>
      <c r="AN30" s="481">
        <f t="shared" si="16"/>
        <v>366187.60000000003</v>
      </c>
      <c r="AO30" s="481">
        <f t="shared" si="16"/>
        <v>1317642.3999999999</v>
      </c>
      <c r="AP30" s="481">
        <f t="shared" si="16"/>
        <v>1683830</v>
      </c>
      <c r="AQ30" s="319" t="s">
        <v>583</v>
      </c>
      <c r="AR30" s="478">
        <v>8492.6</v>
      </c>
      <c r="AS30" s="478">
        <v>92503.5</v>
      </c>
      <c r="AT30" s="478">
        <v>40746.5</v>
      </c>
      <c r="AU30" s="478">
        <v>266.60000000000002</v>
      </c>
      <c r="AV30" s="478">
        <f>1543015.5-30.69</f>
        <v>1542984.81</v>
      </c>
      <c r="AW30" s="478">
        <v>14808.8</v>
      </c>
      <c r="AX30" s="478">
        <f>AV30+AW30</f>
        <v>1557793.61</v>
      </c>
      <c r="AY30" s="478">
        <f t="shared" si="28"/>
        <v>62311.744400000003</v>
      </c>
      <c r="AZ30" s="478">
        <f t="shared" si="18"/>
        <v>22630.219799999999</v>
      </c>
      <c r="BA30" s="478">
        <f>84949.8-7.8358</f>
        <v>84941.964200000002</v>
      </c>
      <c r="BB30" s="478">
        <v>4197247.3</v>
      </c>
      <c r="BC30" s="478">
        <f t="shared" si="19"/>
        <v>330277.36420000001</v>
      </c>
      <c r="BD30" s="901">
        <v>4126.8</v>
      </c>
      <c r="BE30" s="478">
        <v>41614.699999999997</v>
      </c>
      <c r="BF30" s="478">
        <v>11978.1</v>
      </c>
      <c r="BG30" s="478">
        <v>320759</v>
      </c>
      <c r="BH30" s="478">
        <f t="shared" si="20"/>
        <v>378478.6</v>
      </c>
      <c r="BI30" s="319" t="s">
        <v>583</v>
      </c>
      <c r="BJ30" s="310">
        <v>13.64</v>
      </c>
      <c r="BK30" s="310">
        <v>22.86</v>
      </c>
      <c r="BL30" s="310">
        <v>11.32</v>
      </c>
      <c r="BM30" s="310">
        <v>11.92</v>
      </c>
      <c r="BN30" s="310">
        <v>6.52</v>
      </c>
      <c r="BO30" s="310" t="s">
        <v>298</v>
      </c>
      <c r="BP30" s="311">
        <v>3812</v>
      </c>
      <c r="BQ30" s="311">
        <v>1513</v>
      </c>
      <c r="BR30" s="311">
        <v>5560</v>
      </c>
      <c r="BS30" s="311">
        <v>65</v>
      </c>
      <c r="BT30" s="311">
        <f t="shared" si="21"/>
        <v>10950</v>
      </c>
      <c r="BU30" s="310">
        <f>AP30/AV30*100</f>
        <v>109.12809958252279</v>
      </c>
      <c r="BV30" s="310">
        <f t="shared" si="23"/>
        <v>140.91185479452056</v>
      </c>
      <c r="BW30" s="310">
        <f t="shared" si="24"/>
        <v>153.77442922374431</v>
      </c>
      <c r="BX30" s="310">
        <f>(M30+BA30)/AV30*100</f>
        <v>6.8133700032989948</v>
      </c>
      <c r="BY30" s="310">
        <v>4</v>
      </c>
      <c r="BZ30" s="310">
        <v>4.0199999999999996</v>
      </c>
      <c r="CA30" s="310">
        <v>7.08</v>
      </c>
      <c r="CB30" s="310">
        <f t="shared" si="26"/>
        <v>3.0600000000000005</v>
      </c>
      <c r="CC30" s="310">
        <v>7.45</v>
      </c>
      <c r="CD30" s="310">
        <v>10.050000000000001</v>
      </c>
      <c r="CE30" s="310">
        <f t="shared" si="27"/>
        <v>2.6000000000000005</v>
      </c>
    </row>
    <row r="31" spans="1:83" s="170" customFormat="1" ht="11.1" customHeight="1">
      <c r="A31" s="168"/>
      <c r="B31" s="168"/>
      <c r="C31" s="168"/>
      <c r="D31" s="168"/>
      <c r="E31" s="778"/>
      <c r="F31" s="778"/>
      <c r="G31" s="168"/>
      <c r="H31" s="168"/>
      <c r="I31" s="168" t="s">
        <v>574</v>
      </c>
      <c r="J31" s="483">
        <v>254519.5</v>
      </c>
      <c r="K31" s="483">
        <v>1663.3</v>
      </c>
      <c r="L31" s="483">
        <f t="shared" si="7"/>
        <v>256182.8</v>
      </c>
      <c r="M31" s="483">
        <v>19733.8</v>
      </c>
      <c r="N31" s="483">
        <f t="shared" si="8"/>
        <v>236449</v>
      </c>
      <c r="O31" s="483">
        <v>36254.9</v>
      </c>
      <c r="P31" s="483">
        <v>108918.7</v>
      </c>
      <c r="Q31" s="483">
        <v>188859.4</v>
      </c>
      <c r="R31" s="483">
        <v>1282217.5</v>
      </c>
      <c r="S31" s="483">
        <f t="shared" si="9"/>
        <v>1471076.9</v>
      </c>
      <c r="T31" s="483">
        <f t="shared" si="10"/>
        <v>1579995.5999999999</v>
      </c>
      <c r="U31" s="483">
        <v>596.4</v>
      </c>
      <c r="V31" s="483">
        <v>347162</v>
      </c>
      <c r="W31" s="483">
        <f t="shared" si="11"/>
        <v>425904.80000000005</v>
      </c>
      <c r="X31" s="483">
        <f t="shared" si="12"/>
        <v>1708122.3</v>
      </c>
      <c r="Y31" s="483">
        <v>2097973.2999999998</v>
      </c>
      <c r="Z31" s="168" t="s">
        <v>574</v>
      </c>
      <c r="AA31" s="239">
        <v>0</v>
      </c>
      <c r="AB31" s="483">
        <v>38512.6</v>
      </c>
      <c r="AC31" s="483">
        <v>1286429.5</v>
      </c>
      <c r="AD31" s="483">
        <f t="shared" si="13"/>
        <v>1324942.1000000001</v>
      </c>
      <c r="AE31" s="239">
        <v>0</v>
      </c>
      <c r="AF31" s="483">
        <v>1884.6</v>
      </c>
      <c r="AG31" s="483">
        <v>32287.9</v>
      </c>
      <c r="AH31" s="483">
        <f t="shared" si="14"/>
        <v>34172.5</v>
      </c>
      <c r="AI31" s="494">
        <v>30832</v>
      </c>
      <c r="AJ31" s="494">
        <v>334009.8</v>
      </c>
      <c r="AK31" s="494">
        <v>26582.3</v>
      </c>
      <c r="AL31" s="494">
        <f t="shared" si="15"/>
        <v>360592.1</v>
      </c>
      <c r="AM31" s="494">
        <f t="shared" si="16"/>
        <v>30832</v>
      </c>
      <c r="AN31" s="494">
        <f t="shared" si="16"/>
        <v>374407</v>
      </c>
      <c r="AO31" s="494">
        <f t="shared" si="16"/>
        <v>1345299.7</v>
      </c>
      <c r="AP31" s="494">
        <f t="shared" si="16"/>
        <v>1719706.7000000002</v>
      </c>
      <c r="AQ31" s="168" t="s">
        <v>574</v>
      </c>
      <c r="AR31" s="483">
        <v>7702.1</v>
      </c>
      <c r="AS31" s="483">
        <v>91659.8</v>
      </c>
      <c r="AT31" s="483">
        <v>42893.9</v>
      </c>
      <c r="AU31" s="483">
        <v>634.4</v>
      </c>
      <c r="AV31" s="483">
        <f>1580052.5-31.48</f>
        <v>1580021.02</v>
      </c>
      <c r="AW31" s="483">
        <v>14605</v>
      </c>
      <c r="AX31" s="483">
        <f t="shared" si="17"/>
        <v>1594626.02</v>
      </c>
      <c r="AY31" s="483">
        <f t="shared" si="28"/>
        <v>63785.040800000002</v>
      </c>
      <c r="AZ31" s="483">
        <f t="shared" si="18"/>
        <v>26589.661199999988</v>
      </c>
      <c r="BA31" s="483">
        <f>90382.9-8.198</f>
        <v>90374.70199999999</v>
      </c>
      <c r="BB31" s="483">
        <v>4276170.7</v>
      </c>
      <c r="BC31" s="483">
        <f t="shared" si="19"/>
        <v>346557.50199999998</v>
      </c>
      <c r="BD31" s="242">
        <v>4853.7</v>
      </c>
      <c r="BE31" s="483">
        <v>53503</v>
      </c>
      <c r="BF31" s="483">
        <v>11175.3</v>
      </c>
      <c r="BG31" s="483">
        <v>329468.59999999998</v>
      </c>
      <c r="BH31" s="483">
        <f t="shared" si="20"/>
        <v>399000.6</v>
      </c>
      <c r="BI31" s="168" t="s">
        <v>574</v>
      </c>
      <c r="BJ31" s="268">
        <v>28.18</v>
      </c>
      <c r="BK31" s="268">
        <v>23.92</v>
      </c>
      <c r="BL31" s="268">
        <v>13.66</v>
      </c>
      <c r="BM31" s="268">
        <v>16.100000000000001</v>
      </c>
      <c r="BN31" s="268">
        <v>9.43</v>
      </c>
      <c r="BO31" s="268" t="s">
        <v>298</v>
      </c>
      <c r="BP31" s="397">
        <v>3812</v>
      </c>
      <c r="BQ31" s="397">
        <v>1519</v>
      </c>
      <c r="BR31" s="397">
        <v>5567</v>
      </c>
      <c r="BS31" s="397">
        <v>65</v>
      </c>
      <c r="BT31" s="397">
        <f t="shared" si="21"/>
        <v>10963</v>
      </c>
      <c r="BU31" s="268">
        <f>AP31/AV31*100</f>
        <v>108.8407482072612</v>
      </c>
      <c r="BV31" s="268">
        <f t="shared" si="23"/>
        <v>144.1230520842835</v>
      </c>
      <c r="BW31" s="268">
        <f t="shared" si="24"/>
        <v>156.86460822767492</v>
      </c>
      <c r="BX31" s="268">
        <f>(M31+BA31)/AV31*100</f>
        <v>6.9687998201441639</v>
      </c>
      <c r="BY31" s="268">
        <v>4</v>
      </c>
      <c r="BZ31" s="268">
        <v>3.97</v>
      </c>
      <c r="CA31" s="268">
        <v>7.09</v>
      </c>
      <c r="CB31" s="268">
        <f t="shared" si="26"/>
        <v>3.1199999999999997</v>
      </c>
      <c r="CC31" s="268">
        <v>7.49</v>
      </c>
      <c r="CD31" s="268">
        <v>9.85</v>
      </c>
      <c r="CE31" s="268">
        <f t="shared" si="27"/>
        <v>2.3599999999999994</v>
      </c>
    </row>
    <row r="32" spans="1:83" s="170" customFormat="1" ht="11.1" customHeight="1">
      <c r="A32" s="168"/>
      <c r="B32" s="168"/>
      <c r="C32" s="168"/>
      <c r="D32" s="168"/>
      <c r="E32" s="168"/>
      <c r="F32" s="168"/>
      <c r="G32" s="168"/>
      <c r="H32" s="168"/>
      <c r="I32" s="1734" t="s">
        <v>2300</v>
      </c>
      <c r="J32" s="573">
        <f>J44</f>
        <v>310153.40000000002</v>
      </c>
      <c r="K32" s="573">
        <f>K44</f>
        <v>1794.4</v>
      </c>
      <c r="L32" s="573">
        <f t="shared" ref="L32:BW32" si="30">L44</f>
        <v>311947.80000000005</v>
      </c>
      <c r="M32" s="573">
        <f t="shared" si="30"/>
        <v>20034.3</v>
      </c>
      <c r="N32" s="573">
        <f t="shared" si="30"/>
        <v>291913.50000000006</v>
      </c>
      <c r="O32" s="573">
        <f t="shared" si="30"/>
        <v>33759.4</v>
      </c>
      <c r="P32" s="573">
        <f t="shared" si="30"/>
        <v>103350.9</v>
      </c>
      <c r="Q32" s="573">
        <f t="shared" si="30"/>
        <v>199304.3</v>
      </c>
      <c r="R32" s="573">
        <f t="shared" si="30"/>
        <v>1395280.2</v>
      </c>
      <c r="S32" s="573">
        <f t="shared" si="30"/>
        <v>1594584.5</v>
      </c>
      <c r="T32" s="573">
        <f t="shared" si="30"/>
        <v>1697935.4</v>
      </c>
      <c r="U32" s="573">
        <f t="shared" si="30"/>
        <v>670.1</v>
      </c>
      <c r="V32" s="573">
        <f t="shared" si="30"/>
        <v>383585.19999999995</v>
      </c>
      <c r="W32" s="573">
        <f t="shared" si="30"/>
        <v>491887.9</v>
      </c>
      <c r="X32" s="573">
        <f t="shared" si="30"/>
        <v>1887168.1</v>
      </c>
      <c r="Y32" s="573">
        <f t="shared" si="30"/>
        <v>2273892.4900000002</v>
      </c>
      <c r="Z32" s="1734" t="s">
        <v>2300</v>
      </c>
      <c r="AA32" s="573">
        <f t="shared" si="30"/>
        <v>0</v>
      </c>
      <c r="AB32" s="573">
        <f t="shared" si="30"/>
        <v>51470.2</v>
      </c>
      <c r="AC32" s="573">
        <f t="shared" si="30"/>
        <v>1421339.2</v>
      </c>
      <c r="AD32" s="573">
        <f t="shared" si="30"/>
        <v>1472809.4</v>
      </c>
      <c r="AE32" s="573">
        <f t="shared" si="30"/>
        <v>0</v>
      </c>
      <c r="AF32" s="573">
        <f t="shared" si="30"/>
        <v>807.9</v>
      </c>
      <c r="AG32" s="573">
        <f t="shared" si="30"/>
        <v>38453</v>
      </c>
      <c r="AH32" s="573">
        <f t="shared" si="30"/>
        <v>39260.9</v>
      </c>
      <c r="AI32" s="573">
        <f t="shared" si="30"/>
        <v>30458.2</v>
      </c>
      <c r="AJ32" s="573">
        <f t="shared" si="30"/>
        <v>329477.8</v>
      </c>
      <c r="AK32" s="573">
        <f t="shared" si="30"/>
        <v>27112.7</v>
      </c>
      <c r="AL32" s="573">
        <f t="shared" si="30"/>
        <v>356590.5</v>
      </c>
      <c r="AM32" s="573">
        <f t="shared" si="30"/>
        <v>30458.2</v>
      </c>
      <c r="AN32" s="573">
        <f t="shared" si="30"/>
        <v>381755.89999999997</v>
      </c>
      <c r="AO32" s="573">
        <f t="shared" si="30"/>
        <v>1486904.9</v>
      </c>
      <c r="AP32" s="573">
        <f t="shared" si="30"/>
        <v>1868660.7999999998</v>
      </c>
      <c r="AQ32" s="1734" t="s">
        <v>2300</v>
      </c>
      <c r="AR32" s="573">
        <f t="shared" si="30"/>
        <v>9730.7999999999993</v>
      </c>
      <c r="AS32" s="573">
        <f t="shared" si="30"/>
        <v>105117.8</v>
      </c>
      <c r="AT32" s="573">
        <f t="shared" si="30"/>
        <v>44627.199999999997</v>
      </c>
      <c r="AU32" s="573">
        <f t="shared" si="30"/>
        <v>115.4</v>
      </c>
      <c r="AV32" s="573">
        <f t="shared" si="30"/>
        <v>1697975.9100000001</v>
      </c>
      <c r="AW32" s="573">
        <f t="shared" si="30"/>
        <v>17873.2</v>
      </c>
      <c r="AX32" s="573">
        <f t="shared" si="30"/>
        <v>1715849.11</v>
      </c>
      <c r="AY32" s="573">
        <f t="shared" si="30"/>
        <v>68633.964400000012</v>
      </c>
      <c r="AZ32" s="573">
        <f t="shared" si="30"/>
        <v>2330.6837999999843</v>
      </c>
      <c r="BA32" s="573">
        <f t="shared" si="30"/>
        <v>70964.648199999996</v>
      </c>
      <c r="BB32" s="573">
        <f t="shared" si="30"/>
        <v>4601082.2</v>
      </c>
      <c r="BC32" s="573">
        <f t="shared" si="30"/>
        <v>382912.44820000004</v>
      </c>
      <c r="BD32" s="573">
        <f t="shared" si="30"/>
        <v>24318</v>
      </c>
      <c r="BE32" s="573">
        <f t="shared" si="30"/>
        <v>132269.79999999999</v>
      </c>
      <c r="BF32" s="573">
        <f t="shared" si="30"/>
        <v>15486</v>
      </c>
      <c r="BG32" s="573">
        <f t="shared" si="30"/>
        <v>324998.7</v>
      </c>
      <c r="BH32" s="573">
        <f t="shared" si="30"/>
        <v>497072.5</v>
      </c>
      <c r="BI32" s="1734" t="s">
        <v>2300</v>
      </c>
      <c r="BJ32" s="641">
        <f t="shared" si="30"/>
        <v>36.65</v>
      </c>
      <c r="BK32" s="641">
        <f t="shared" si="30"/>
        <v>22.29</v>
      </c>
      <c r="BL32" s="641">
        <f t="shared" si="30"/>
        <v>10.57</v>
      </c>
      <c r="BM32" s="641">
        <f t="shared" si="30"/>
        <v>15.25</v>
      </c>
      <c r="BN32" s="641">
        <f t="shared" si="30"/>
        <v>10.48</v>
      </c>
      <c r="BO32" s="641">
        <v>2.3523388753586643</v>
      </c>
      <c r="BP32" s="641">
        <f t="shared" si="30"/>
        <v>3823</v>
      </c>
      <c r="BQ32" s="641">
        <f t="shared" si="30"/>
        <v>1523</v>
      </c>
      <c r="BR32" s="641">
        <f t="shared" si="30"/>
        <v>5768</v>
      </c>
      <c r="BS32" s="641">
        <f t="shared" si="30"/>
        <v>63</v>
      </c>
      <c r="BT32" s="641">
        <f t="shared" si="30"/>
        <v>11177</v>
      </c>
      <c r="BU32" s="641">
        <f t="shared" si="30"/>
        <v>110.05225627729899</v>
      </c>
      <c r="BV32" s="641">
        <f t="shared" si="30"/>
        <v>151.916964301691</v>
      </c>
      <c r="BW32" s="641">
        <f t="shared" si="30"/>
        <v>167.18804688198978</v>
      </c>
      <c r="BX32" s="641">
        <f t="shared" ref="BX32:CE32" si="31">BX44</f>
        <v>5.3592602618255043</v>
      </c>
      <c r="BY32" s="641">
        <f t="shared" si="31"/>
        <v>4</v>
      </c>
      <c r="BZ32" s="641">
        <f t="shared" si="31"/>
        <v>4.38</v>
      </c>
      <c r="CA32" s="641">
        <f t="shared" si="31"/>
        <v>7.31</v>
      </c>
      <c r="CB32" s="641">
        <f t="shared" si="31"/>
        <v>2.9299999999999997</v>
      </c>
      <c r="CC32" s="641">
        <f t="shared" si="31"/>
        <v>7.93</v>
      </c>
      <c r="CD32" s="641">
        <f t="shared" si="31"/>
        <v>8.1999999999999993</v>
      </c>
      <c r="CE32" s="641">
        <f t="shared" si="31"/>
        <v>0.26999999999999957</v>
      </c>
    </row>
    <row r="33" spans="1:83" s="170" customFormat="1" ht="11.1" customHeight="1">
      <c r="A33" s="168"/>
      <c r="B33" s="168"/>
      <c r="C33" s="168"/>
      <c r="D33" s="168"/>
      <c r="E33" s="168"/>
      <c r="F33" s="168"/>
      <c r="G33" s="168"/>
      <c r="H33" s="168"/>
      <c r="I33" s="265" t="s">
        <v>576</v>
      </c>
      <c r="J33" s="483">
        <v>262931.09999999998</v>
      </c>
      <c r="K33" s="483">
        <v>1672.4</v>
      </c>
      <c r="L33" s="483">
        <f t="shared" si="7"/>
        <v>264603.5</v>
      </c>
      <c r="M33" s="483">
        <v>22577.3</v>
      </c>
      <c r="N33" s="483">
        <f t="shared" si="8"/>
        <v>242026.2</v>
      </c>
      <c r="O33" s="483">
        <v>37554.300000000003</v>
      </c>
      <c r="P33" s="483">
        <v>105683.4</v>
      </c>
      <c r="Q33" s="483">
        <v>179828.3</v>
      </c>
      <c r="R33" s="483">
        <v>1285440.5</v>
      </c>
      <c r="S33" s="483">
        <f t="shared" si="9"/>
        <v>1465268.8</v>
      </c>
      <c r="T33" s="483">
        <f t="shared" si="10"/>
        <v>1570952.2</v>
      </c>
      <c r="U33" s="483">
        <v>635.4</v>
      </c>
      <c r="V33" s="483">
        <v>344931</v>
      </c>
      <c r="W33" s="483">
        <f t="shared" si="11"/>
        <v>422489.9</v>
      </c>
      <c r="X33" s="483">
        <f t="shared" si="12"/>
        <v>1707930.4</v>
      </c>
      <c r="Y33" s="483">
        <v>2098983.5999999996</v>
      </c>
      <c r="Z33" s="265" t="s">
        <v>576</v>
      </c>
      <c r="AA33" s="239">
        <v>0</v>
      </c>
      <c r="AB33" s="483">
        <v>39456.800000000003</v>
      </c>
      <c r="AC33" s="483">
        <v>1286995.8</v>
      </c>
      <c r="AD33" s="483">
        <f t="shared" si="13"/>
        <v>1326452.6000000001</v>
      </c>
      <c r="AE33" s="239">
        <v>0</v>
      </c>
      <c r="AF33" s="483">
        <v>1831.4</v>
      </c>
      <c r="AG33" s="483">
        <v>33092</v>
      </c>
      <c r="AH33" s="483">
        <f t="shared" si="14"/>
        <v>34923.4</v>
      </c>
      <c r="AI33" s="494">
        <v>31031</v>
      </c>
      <c r="AJ33" s="494">
        <v>330136.59999999998</v>
      </c>
      <c r="AK33" s="494">
        <v>26541</v>
      </c>
      <c r="AL33" s="494">
        <f t="shared" si="15"/>
        <v>356677.6</v>
      </c>
      <c r="AM33" s="494">
        <f t="shared" ref="AM33:AP44" si="32">AA33+AE33+AI33</f>
        <v>31031</v>
      </c>
      <c r="AN33" s="494">
        <f t="shared" si="32"/>
        <v>371424.8</v>
      </c>
      <c r="AO33" s="494">
        <f t="shared" si="32"/>
        <v>1346628.8</v>
      </c>
      <c r="AP33" s="494">
        <f t="shared" si="32"/>
        <v>1718053.6</v>
      </c>
      <c r="AQ33" s="265" t="s">
        <v>576</v>
      </c>
      <c r="AR33" s="483">
        <v>6122.8</v>
      </c>
      <c r="AS33" s="483">
        <v>99775.9</v>
      </c>
      <c r="AT33" s="483">
        <v>39866.1</v>
      </c>
      <c r="AU33" s="483">
        <v>584.29999999999995</v>
      </c>
      <c r="AV33" s="483">
        <f>1571009.4-29.24</f>
        <v>1570980.16</v>
      </c>
      <c r="AW33" s="483">
        <v>15707.8</v>
      </c>
      <c r="AX33" s="483">
        <f t="shared" si="17"/>
        <v>1586687.96</v>
      </c>
      <c r="AY33" s="483">
        <f t="shared" ref="AY33:AY44" si="33">0.04*AX33</f>
        <v>63467.518400000001</v>
      </c>
      <c r="AZ33" s="483">
        <f t="shared" ref="AZ33:AZ44" si="34">BA33-AY33</f>
        <v>16218.959700000007</v>
      </c>
      <c r="BA33" s="483">
        <f>79692.1-5.6219</f>
        <v>79686.478100000008</v>
      </c>
      <c r="BB33" s="483">
        <v>4308514.4000000004</v>
      </c>
      <c r="BC33" s="483">
        <f t="shared" ref="BC33:BC38" si="35">L33+BA33</f>
        <v>344289.97810000001</v>
      </c>
      <c r="BD33" s="242">
        <v>4126.8</v>
      </c>
      <c r="BE33" s="483">
        <v>62925.2</v>
      </c>
      <c r="BF33" s="483">
        <v>11119.8</v>
      </c>
      <c r="BG33" s="483">
        <v>325596.90000000002</v>
      </c>
      <c r="BH33" s="483">
        <f t="shared" si="20"/>
        <v>403768.7</v>
      </c>
      <c r="BI33" s="265" t="s">
        <v>576</v>
      </c>
      <c r="BJ33" s="268">
        <v>-0.55000000000000004</v>
      </c>
      <c r="BK33" s="268">
        <v>2.52</v>
      </c>
      <c r="BL33" s="268">
        <v>0.1</v>
      </c>
      <c r="BM33" s="268">
        <v>0.04</v>
      </c>
      <c r="BN33" s="268">
        <v>-0.01</v>
      </c>
      <c r="BO33" s="268" t="s">
        <v>298</v>
      </c>
      <c r="BP33" s="397">
        <v>3812</v>
      </c>
      <c r="BQ33" s="397">
        <v>1519</v>
      </c>
      <c r="BR33" s="397">
        <v>5569</v>
      </c>
      <c r="BS33" s="397">
        <v>63</v>
      </c>
      <c r="BT33" s="397">
        <f t="shared" si="21"/>
        <v>10963</v>
      </c>
      <c r="BU33" s="268">
        <f t="shared" ref="BU33:BU37" si="36">AP33/AV33*100</f>
        <v>109.36189035003474</v>
      </c>
      <c r="BV33" s="268">
        <f t="shared" ref="BV33:BV35" si="37">AV33/BT33</f>
        <v>143.29838182979111</v>
      </c>
      <c r="BW33" s="268">
        <f t="shared" ref="BW33:BW38" si="38">AP33/BT33</f>
        <v>156.71381921007026</v>
      </c>
      <c r="BX33" s="268">
        <f t="shared" ref="BX33:BX42" si="39">(M33+BA33)/AV33*100</f>
        <v>6.5095524885559346</v>
      </c>
      <c r="BY33" s="268">
        <v>4</v>
      </c>
      <c r="BZ33" s="268">
        <v>4.04</v>
      </c>
      <c r="CA33" s="268">
        <v>7.09</v>
      </c>
      <c r="CB33" s="268">
        <f t="shared" si="26"/>
        <v>3.05</v>
      </c>
      <c r="CC33" s="268">
        <v>7.46</v>
      </c>
      <c r="CD33" s="268">
        <v>9.2899999999999991</v>
      </c>
      <c r="CE33" s="268">
        <f t="shared" si="27"/>
        <v>1.8299999999999992</v>
      </c>
    </row>
    <row r="34" spans="1:83" s="170" customFormat="1" ht="11.1" customHeight="1">
      <c r="A34" s="168"/>
      <c r="B34" s="168"/>
      <c r="C34" s="168"/>
      <c r="D34" s="168"/>
      <c r="E34" s="168"/>
      <c r="F34" s="168"/>
      <c r="G34" s="168"/>
      <c r="H34" s="168"/>
      <c r="I34" s="341" t="s">
        <v>577</v>
      </c>
      <c r="J34" s="478">
        <v>261231</v>
      </c>
      <c r="K34" s="478">
        <v>1682</v>
      </c>
      <c r="L34" s="478">
        <f t="shared" si="7"/>
        <v>262913</v>
      </c>
      <c r="M34" s="478">
        <v>21036.7</v>
      </c>
      <c r="N34" s="478">
        <f t="shared" si="8"/>
        <v>241876.3</v>
      </c>
      <c r="O34" s="478">
        <v>35074.6</v>
      </c>
      <c r="P34" s="478">
        <v>102612.6</v>
      </c>
      <c r="Q34" s="478">
        <v>175888.8</v>
      </c>
      <c r="R34" s="478">
        <v>1292405.5</v>
      </c>
      <c r="S34" s="478">
        <f t="shared" si="9"/>
        <v>1468294.3</v>
      </c>
      <c r="T34" s="478">
        <f t="shared" si="10"/>
        <v>1570906.9000000001</v>
      </c>
      <c r="U34" s="478">
        <v>643.5</v>
      </c>
      <c r="V34" s="478">
        <v>341336.5</v>
      </c>
      <c r="W34" s="478">
        <f t="shared" si="11"/>
        <v>418408.6</v>
      </c>
      <c r="X34" s="478">
        <f t="shared" si="12"/>
        <v>1710814.1</v>
      </c>
      <c r="Y34" s="478">
        <v>2102773</v>
      </c>
      <c r="Z34" s="341" t="s">
        <v>577</v>
      </c>
      <c r="AA34" s="304">
        <v>0</v>
      </c>
      <c r="AB34" s="478">
        <v>42550.3</v>
      </c>
      <c r="AC34" s="478">
        <v>1298346</v>
      </c>
      <c r="AD34" s="478">
        <f t="shared" si="13"/>
        <v>1340896.3</v>
      </c>
      <c r="AE34" s="304">
        <v>0</v>
      </c>
      <c r="AF34" s="478">
        <v>1723.3</v>
      </c>
      <c r="AG34" s="478">
        <v>31292</v>
      </c>
      <c r="AH34" s="478">
        <f t="shared" si="14"/>
        <v>33015.300000000003</v>
      </c>
      <c r="AI34" s="481">
        <v>30666.1</v>
      </c>
      <c r="AJ34" s="481">
        <v>322740.5</v>
      </c>
      <c r="AK34" s="481">
        <v>26850.9</v>
      </c>
      <c r="AL34" s="481">
        <f t="shared" si="15"/>
        <v>349591.4</v>
      </c>
      <c r="AM34" s="481">
        <f t="shared" si="32"/>
        <v>30666.1</v>
      </c>
      <c r="AN34" s="481">
        <f t="shared" si="32"/>
        <v>367014.1</v>
      </c>
      <c r="AO34" s="481">
        <f t="shared" si="32"/>
        <v>1356488.9</v>
      </c>
      <c r="AP34" s="481">
        <f t="shared" si="32"/>
        <v>1723503</v>
      </c>
      <c r="AQ34" s="341" t="s">
        <v>577</v>
      </c>
      <c r="AR34" s="478">
        <v>6507.5</v>
      </c>
      <c r="AS34" s="478">
        <v>100956.6</v>
      </c>
      <c r="AT34" s="478">
        <v>40025.4</v>
      </c>
      <c r="AU34" s="478">
        <v>729.2</v>
      </c>
      <c r="AV34" s="478">
        <f>1570966.1-9.84</f>
        <v>1570956.26</v>
      </c>
      <c r="AW34" s="478">
        <v>15024.5</v>
      </c>
      <c r="AX34" s="478">
        <f>AV34+AW34</f>
        <v>1585980.76</v>
      </c>
      <c r="AY34" s="478">
        <f t="shared" si="33"/>
        <v>63439.2304</v>
      </c>
      <c r="AZ34" s="478">
        <f t="shared" si="34"/>
        <v>14330.464900000006</v>
      </c>
      <c r="BA34" s="478">
        <f>77780-10.3047</f>
        <v>77769.695300000007</v>
      </c>
      <c r="BB34" s="478">
        <v>4347458.0999999996</v>
      </c>
      <c r="BC34" s="478">
        <f t="shared" si="35"/>
        <v>340682.69530000002</v>
      </c>
      <c r="BD34" s="901">
        <v>4126.8</v>
      </c>
      <c r="BE34" s="478">
        <v>65225.5</v>
      </c>
      <c r="BF34" s="478">
        <v>13529.3</v>
      </c>
      <c r="BG34" s="478">
        <v>318294.40000000002</v>
      </c>
      <c r="BH34" s="478">
        <f t="shared" si="20"/>
        <v>401176</v>
      </c>
      <c r="BI34" s="341" t="s">
        <v>577</v>
      </c>
      <c r="BJ34" s="462">
        <v>1.8</v>
      </c>
      <c r="BK34" s="310">
        <v>3.81</v>
      </c>
      <c r="BL34" s="310">
        <v>0.83</v>
      </c>
      <c r="BM34" s="310">
        <v>1.06</v>
      </c>
      <c r="BN34" s="310">
        <v>0.16</v>
      </c>
      <c r="BO34" s="310" t="s">
        <v>298</v>
      </c>
      <c r="BP34" s="311">
        <v>3812</v>
      </c>
      <c r="BQ34" s="311">
        <v>1519</v>
      </c>
      <c r="BR34" s="311">
        <v>5572</v>
      </c>
      <c r="BS34" s="311">
        <v>63</v>
      </c>
      <c r="BT34" s="311">
        <f t="shared" si="21"/>
        <v>10966</v>
      </c>
      <c r="BU34" s="310">
        <f t="shared" si="36"/>
        <v>109.71043840520423</v>
      </c>
      <c r="BV34" s="310">
        <f t="shared" si="37"/>
        <v>143.25699981761809</v>
      </c>
      <c r="BW34" s="310">
        <f t="shared" si="38"/>
        <v>157.16788254605143</v>
      </c>
      <c r="BX34" s="310">
        <f t="shared" si="39"/>
        <v>6.289570105535593</v>
      </c>
      <c r="BY34" s="310">
        <v>4</v>
      </c>
      <c r="BZ34" s="310">
        <v>4.07</v>
      </c>
      <c r="CA34" s="310">
        <v>7.11</v>
      </c>
      <c r="CB34" s="310">
        <f t="shared" si="26"/>
        <v>3.04</v>
      </c>
      <c r="CC34" s="310">
        <v>7.44</v>
      </c>
      <c r="CD34" s="310">
        <v>9.1999999999999993</v>
      </c>
      <c r="CE34" s="310">
        <f t="shared" si="27"/>
        <v>1.7599999999999989</v>
      </c>
    </row>
    <row r="35" spans="1:83" s="170" customFormat="1" ht="11.1" customHeight="1">
      <c r="A35" s="168"/>
      <c r="B35" s="168"/>
      <c r="C35" s="168"/>
      <c r="D35" s="168"/>
      <c r="E35" s="168"/>
      <c r="F35" s="168"/>
      <c r="G35" s="168"/>
      <c r="H35" s="168"/>
      <c r="I35" s="265" t="s">
        <v>571</v>
      </c>
      <c r="J35" s="483">
        <v>259946.1</v>
      </c>
      <c r="K35" s="483">
        <v>1690.6</v>
      </c>
      <c r="L35" s="483">
        <f t="shared" si="7"/>
        <v>261636.7</v>
      </c>
      <c r="M35" s="483">
        <v>21638.5</v>
      </c>
      <c r="N35" s="483">
        <f t="shared" si="8"/>
        <v>239998.2</v>
      </c>
      <c r="O35" s="483">
        <v>34713.9</v>
      </c>
      <c r="P35" s="483">
        <v>102039.5</v>
      </c>
      <c r="Q35" s="483">
        <v>177798.3</v>
      </c>
      <c r="R35" s="483">
        <v>1304378.7</v>
      </c>
      <c r="S35" s="483">
        <f t="shared" si="9"/>
        <v>1482177</v>
      </c>
      <c r="T35" s="483">
        <f t="shared" si="10"/>
        <v>1584216.5</v>
      </c>
      <c r="U35" s="483">
        <v>652.30000000000007</v>
      </c>
      <c r="V35" s="483">
        <v>340080.39999999997</v>
      </c>
      <c r="W35" s="483">
        <f t="shared" si="11"/>
        <v>418448.8</v>
      </c>
      <c r="X35" s="483">
        <f t="shared" si="12"/>
        <v>1722827.5</v>
      </c>
      <c r="Y35" s="483">
        <v>2114833.2000000002</v>
      </c>
      <c r="Z35" s="265" t="s">
        <v>571</v>
      </c>
      <c r="AA35" s="239">
        <v>0</v>
      </c>
      <c r="AB35" s="483">
        <v>40984.400000000001</v>
      </c>
      <c r="AC35" s="483">
        <v>1315814.3999999999</v>
      </c>
      <c r="AD35" s="483">
        <f t="shared" si="13"/>
        <v>1356798.7999999998</v>
      </c>
      <c r="AE35" s="239">
        <v>0</v>
      </c>
      <c r="AF35" s="483">
        <v>1599</v>
      </c>
      <c r="AG35" s="483">
        <v>30782</v>
      </c>
      <c r="AH35" s="483">
        <f t="shared" si="14"/>
        <v>32381</v>
      </c>
      <c r="AI35" s="494">
        <v>31087.4</v>
      </c>
      <c r="AJ35" s="494">
        <v>318335.3</v>
      </c>
      <c r="AK35" s="494">
        <v>26797.9</v>
      </c>
      <c r="AL35" s="494">
        <f t="shared" si="15"/>
        <v>345133.2</v>
      </c>
      <c r="AM35" s="494">
        <f t="shared" si="32"/>
        <v>31087.4</v>
      </c>
      <c r="AN35" s="494">
        <f t="shared" si="32"/>
        <v>360918.7</v>
      </c>
      <c r="AO35" s="494">
        <f t="shared" si="32"/>
        <v>1373394.2999999998</v>
      </c>
      <c r="AP35" s="494">
        <f t="shared" si="32"/>
        <v>1734312.9999999998</v>
      </c>
      <c r="AQ35" s="265" t="s">
        <v>571</v>
      </c>
      <c r="AR35" s="483">
        <v>7316.3</v>
      </c>
      <c r="AS35" s="483">
        <v>99274.6</v>
      </c>
      <c r="AT35" s="483">
        <v>41852.5</v>
      </c>
      <c r="AU35" s="483">
        <v>765.1</v>
      </c>
      <c r="AV35" s="483">
        <f>1584272.1-9.77</f>
        <v>1584262.33</v>
      </c>
      <c r="AW35" s="483">
        <v>15315.6</v>
      </c>
      <c r="AX35" s="483">
        <f t="shared" si="17"/>
        <v>1599577.9300000002</v>
      </c>
      <c r="AY35" s="483">
        <f t="shared" si="33"/>
        <v>63983.117200000008</v>
      </c>
      <c r="AZ35" s="483">
        <f t="shared" si="34"/>
        <v>13802.04339999998</v>
      </c>
      <c r="BA35" s="483">
        <f>77791.4-6.2394</f>
        <v>77785.160599999988</v>
      </c>
      <c r="BB35" s="483">
        <v>4399584.0999999996</v>
      </c>
      <c r="BC35" s="483">
        <f t="shared" si="35"/>
        <v>339421.86060000001</v>
      </c>
      <c r="BD35" s="242">
        <v>4787.5</v>
      </c>
      <c r="BE35" s="483">
        <v>70650.399999999994</v>
      </c>
      <c r="BF35" s="483">
        <v>12590.9</v>
      </c>
      <c r="BG35" s="483">
        <v>313793.09999999998</v>
      </c>
      <c r="BH35" s="483">
        <f t="shared" si="20"/>
        <v>401821.9</v>
      </c>
      <c r="BI35" s="265" t="s">
        <v>571</v>
      </c>
      <c r="BJ35" s="576">
        <v>3.24</v>
      </c>
      <c r="BK35" s="268">
        <v>2.6</v>
      </c>
      <c r="BL35" s="268">
        <v>2.09</v>
      </c>
      <c r="BM35" s="268">
        <v>2.29</v>
      </c>
      <c r="BN35" s="268">
        <v>0.86</v>
      </c>
      <c r="BO35" s="268" t="s">
        <v>298</v>
      </c>
      <c r="BP35" s="397">
        <v>3812</v>
      </c>
      <c r="BQ35" s="397">
        <v>1519</v>
      </c>
      <c r="BR35" s="397">
        <v>5580</v>
      </c>
      <c r="BS35" s="397">
        <v>63</v>
      </c>
      <c r="BT35" s="397">
        <f t="shared" si="21"/>
        <v>10974</v>
      </c>
      <c r="BU35" s="268">
        <f t="shared" si="36"/>
        <v>109.47132726434263</v>
      </c>
      <c r="BV35" s="268">
        <f t="shared" si="37"/>
        <v>144.36507472207035</v>
      </c>
      <c r="BW35" s="268">
        <f t="shared" si="38"/>
        <v>158.0383634044104</v>
      </c>
      <c r="BX35" s="268">
        <f t="shared" si="39"/>
        <v>6.2757069152808791</v>
      </c>
      <c r="BY35" s="268">
        <v>4</v>
      </c>
      <c r="BZ35" s="268">
        <v>4.09</v>
      </c>
      <c r="CA35" s="268">
        <v>7.12</v>
      </c>
      <c r="CB35" s="268">
        <f t="shared" si="26"/>
        <v>3.0300000000000002</v>
      </c>
      <c r="CC35" s="268">
        <v>7.48</v>
      </c>
      <c r="CD35" s="268">
        <v>9.11</v>
      </c>
      <c r="CE35" s="268">
        <f t="shared" si="27"/>
        <v>1.629999999999999</v>
      </c>
    </row>
    <row r="36" spans="1:83" s="170" customFormat="1" ht="11.1" customHeight="1">
      <c r="A36" s="168"/>
      <c r="B36" s="168"/>
      <c r="C36" s="168"/>
      <c r="D36" s="168"/>
      <c r="E36" s="168"/>
      <c r="F36" s="168"/>
      <c r="G36" s="168"/>
      <c r="H36" s="168"/>
      <c r="I36" s="341" t="s">
        <v>578</v>
      </c>
      <c r="J36" s="478">
        <v>256374.7</v>
      </c>
      <c r="K36" s="478">
        <v>1698.5</v>
      </c>
      <c r="L36" s="478">
        <f t="shared" si="7"/>
        <v>258073.2</v>
      </c>
      <c r="M36" s="478">
        <v>21959</v>
      </c>
      <c r="N36" s="478">
        <f t="shared" si="8"/>
        <v>236114.2</v>
      </c>
      <c r="O36" s="478">
        <v>34367.4</v>
      </c>
      <c r="P36" s="478">
        <v>101890.5</v>
      </c>
      <c r="Q36" s="478">
        <v>178312.1</v>
      </c>
      <c r="R36" s="478">
        <v>1311731.2</v>
      </c>
      <c r="S36" s="478">
        <f t="shared" si="9"/>
        <v>1490043.3</v>
      </c>
      <c r="T36" s="478">
        <f t="shared" si="10"/>
        <v>1591933.8</v>
      </c>
      <c r="U36" s="478">
        <v>611.70000000000005</v>
      </c>
      <c r="V36" s="478">
        <v>335476.60000000003</v>
      </c>
      <c r="W36" s="478">
        <f t="shared" si="11"/>
        <v>415038.00000000006</v>
      </c>
      <c r="X36" s="478">
        <f t="shared" si="12"/>
        <v>1726769.2</v>
      </c>
      <c r="Y36" s="478">
        <v>2114814.7000000002</v>
      </c>
      <c r="Z36" s="341" t="s">
        <v>578</v>
      </c>
      <c r="AA36" s="304">
        <v>0</v>
      </c>
      <c r="AB36" s="478">
        <v>42682.5</v>
      </c>
      <c r="AC36" s="478">
        <v>1324983.7</v>
      </c>
      <c r="AD36" s="478">
        <f t="shared" si="13"/>
        <v>1367666.2</v>
      </c>
      <c r="AE36" s="304">
        <v>0</v>
      </c>
      <c r="AF36" s="478">
        <v>1514.1</v>
      </c>
      <c r="AG36" s="478">
        <v>31165.1</v>
      </c>
      <c r="AH36" s="478">
        <f t="shared" si="14"/>
        <v>32679.199999999997</v>
      </c>
      <c r="AI36" s="481">
        <v>30824.5</v>
      </c>
      <c r="AJ36" s="481">
        <v>318336.8</v>
      </c>
      <c r="AK36" s="481">
        <v>26851.8</v>
      </c>
      <c r="AL36" s="481">
        <f t="shared" si="15"/>
        <v>345188.6</v>
      </c>
      <c r="AM36" s="481">
        <f t="shared" si="32"/>
        <v>30824.5</v>
      </c>
      <c r="AN36" s="481">
        <f t="shared" si="32"/>
        <v>362533.39999999997</v>
      </c>
      <c r="AO36" s="481">
        <f t="shared" si="32"/>
        <v>1383000.6</v>
      </c>
      <c r="AP36" s="481">
        <f t="shared" si="32"/>
        <v>1745534</v>
      </c>
      <c r="AQ36" s="341" t="s">
        <v>578</v>
      </c>
      <c r="AR36" s="478">
        <v>7453.9</v>
      </c>
      <c r="AS36" s="478">
        <v>99403</v>
      </c>
      <c r="AT36" s="478">
        <v>41086.699999999997</v>
      </c>
      <c r="AU36" s="478">
        <v>771.3</v>
      </c>
      <c r="AV36" s="478">
        <f>1591989.8-9.9</f>
        <v>1591979.9000000001</v>
      </c>
      <c r="AW36" s="478">
        <v>15989.6</v>
      </c>
      <c r="AX36" s="478">
        <f t="shared" si="17"/>
        <v>1607969.5000000002</v>
      </c>
      <c r="AY36" s="478">
        <f t="shared" si="33"/>
        <v>64318.780000000013</v>
      </c>
      <c r="AZ36" s="478">
        <f t="shared" si="34"/>
        <v>12464.832899999979</v>
      </c>
      <c r="BA36" s="478">
        <f>76791.7-8.0871</f>
        <v>76783.612899999993</v>
      </c>
      <c r="BB36" s="478">
        <v>4440076.2</v>
      </c>
      <c r="BC36" s="478">
        <f t="shared" si="35"/>
        <v>334856.81290000002</v>
      </c>
      <c r="BD36" s="901">
        <v>10126.799999999999</v>
      </c>
      <c r="BE36" s="478">
        <v>75928.399999999994</v>
      </c>
      <c r="BF36" s="478">
        <v>13571.7</v>
      </c>
      <c r="BG36" s="478">
        <v>313801.2</v>
      </c>
      <c r="BH36" s="478">
        <f t="shared" si="20"/>
        <v>413428.10000000003</v>
      </c>
      <c r="BI36" s="341" t="s">
        <v>578</v>
      </c>
      <c r="BJ36" s="462">
        <v>7.71</v>
      </c>
      <c r="BK36" s="310">
        <v>4.28</v>
      </c>
      <c r="BL36" s="310">
        <v>2.81</v>
      </c>
      <c r="BM36" s="310">
        <v>3.67</v>
      </c>
      <c r="BN36" s="310">
        <v>1.0900000000000001</v>
      </c>
      <c r="BO36" s="310" t="s">
        <v>298</v>
      </c>
      <c r="BP36" s="311">
        <v>3812</v>
      </c>
      <c r="BQ36" s="311">
        <v>1519</v>
      </c>
      <c r="BR36" s="311">
        <v>5603</v>
      </c>
      <c r="BS36" s="311">
        <v>63</v>
      </c>
      <c r="BT36" s="311">
        <f t="shared" si="21"/>
        <v>10997</v>
      </c>
      <c r="BU36" s="310">
        <f t="shared" si="36"/>
        <v>109.64547982044243</v>
      </c>
      <c r="BV36" s="310">
        <f t="shared" ref="BV36:BV42" si="40">AV36/BT36</f>
        <v>144.76492679821772</v>
      </c>
      <c r="BW36" s="310">
        <f t="shared" si="38"/>
        <v>158.72819859961808</v>
      </c>
      <c r="BX36" s="310">
        <f t="shared" si="39"/>
        <v>6.2025037439228967</v>
      </c>
      <c r="BY36" s="310">
        <v>4</v>
      </c>
      <c r="BZ36" s="310">
        <v>4.13</v>
      </c>
      <c r="CA36" s="310">
        <v>7.15</v>
      </c>
      <c r="CB36" s="310">
        <f t="shared" si="26"/>
        <v>3.0200000000000005</v>
      </c>
      <c r="CC36" s="310">
        <v>7.49</v>
      </c>
      <c r="CD36" s="310">
        <v>9.08</v>
      </c>
      <c r="CE36" s="310">
        <f t="shared" si="27"/>
        <v>1.5899999999999999</v>
      </c>
    </row>
    <row r="37" spans="1:83" s="170" customFormat="1" ht="11.1" customHeight="1">
      <c r="A37" s="168"/>
      <c r="B37" s="168"/>
      <c r="C37" s="168"/>
      <c r="D37" s="168"/>
      <c r="E37" s="168"/>
      <c r="F37" s="168"/>
      <c r="G37" s="168"/>
      <c r="H37" s="168"/>
      <c r="I37" s="265" t="s">
        <v>579</v>
      </c>
      <c r="J37" s="483">
        <v>272891.59999999998</v>
      </c>
      <c r="K37" s="483">
        <v>1707.9</v>
      </c>
      <c r="L37" s="483">
        <f t="shared" si="7"/>
        <v>274599.5</v>
      </c>
      <c r="M37" s="483">
        <v>21617.5</v>
      </c>
      <c r="N37" s="483">
        <f t="shared" si="8"/>
        <v>252982</v>
      </c>
      <c r="O37" s="483">
        <v>32525.1</v>
      </c>
      <c r="P37" s="483">
        <v>103586</v>
      </c>
      <c r="Q37" s="483">
        <v>179578</v>
      </c>
      <c r="R37" s="483">
        <v>1307310.1000000001</v>
      </c>
      <c r="S37" s="483">
        <f t="shared" si="9"/>
        <v>1486888.1</v>
      </c>
      <c r="T37" s="483">
        <f t="shared" si="10"/>
        <v>1590474.1</v>
      </c>
      <c r="U37" s="483">
        <v>602.29999999999995</v>
      </c>
      <c r="V37" s="483">
        <v>346365.80000000005</v>
      </c>
      <c r="W37" s="483">
        <f t="shared" si="11"/>
        <v>433162.3</v>
      </c>
      <c r="X37" s="483">
        <f t="shared" si="12"/>
        <v>1740472.4000000001</v>
      </c>
      <c r="Y37" s="483">
        <v>2127916.1</v>
      </c>
      <c r="Z37" s="265" t="s">
        <v>579</v>
      </c>
      <c r="AA37" s="239">
        <v>0</v>
      </c>
      <c r="AB37" s="483">
        <v>43316.6</v>
      </c>
      <c r="AC37" s="483">
        <v>1342392.8</v>
      </c>
      <c r="AD37" s="483">
        <f t="shared" si="13"/>
        <v>1385709.4000000001</v>
      </c>
      <c r="AE37" s="239">
        <v>0</v>
      </c>
      <c r="AF37" s="483">
        <v>1458.7</v>
      </c>
      <c r="AG37" s="483">
        <v>31098.6</v>
      </c>
      <c r="AH37" s="483">
        <f t="shared" si="14"/>
        <v>32557.3</v>
      </c>
      <c r="AI37" s="494">
        <v>31305.7</v>
      </c>
      <c r="AJ37" s="494">
        <v>309011.09999999998</v>
      </c>
      <c r="AK37" s="494">
        <v>26945.9</v>
      </c>
      <c r="AL37" s="494">
        <f t="shared" si="15"/>
        <v>335957</v>
      </c>
      <c r="AM37" s="494">
        <f t="shared" si="32"/>
        <v>31305.7</v>
      </c>
      <c r="AN37" s="494">
        <f t="shared" si="32"/>
        <v>353786.39999999997</v>
      </c>
      <c r="AO37" s="494">
        <f t="shared" si="32"/>
        <v>1400437.3</v>
      </c>
      <c r="AP37" s="494">
        <f t="shared" si="32"/>
        <v>1754223.7000000002</v>
      </c>
      <c r="AQ37" s="265" t="s">
        <v>579</v>
      </c>
      <c r="AR37" s="483">
        <v>10373</v>
      </c>
      <c r="AS37" s="483">
        <v>100332</v>
      </c>
      <c r="AT37" s="483">
        <v>39698.6</v>
      </c>
      <c r="AU37" s="483">
        <v>961</v>
      </c>
      <c r="AV37" s="483">
        <f>1590530.9-10.14</f>
        <v>1590520.76</v>
      </c>
      <c r="AW37" s="483">
        <v>15986.7</v>
      </c>
      <c r="AX37" s="483">
        <f t="shared" ref="AX37:AX44" si="41">AV37+AW37</f>
        <v>1606507.46</v>
      </c>
      <c r="AY37" s="483">
        <f t="shared" si="33"/>
        <v>64260.2984</v>
      </c>
      <c r="AZ37" s="483">
        <f t="shared" si="34"/>
        <v>6899.2599000000046</v>
      </c>
      <c r="BA37" s="483">
        <f>71164-4.4417</f>
        <v>71159.558300000004</v>
      </c>
      <c r="BB37" s="483">
        <v>4464599.5999999996</v>
      </c>
      <c r="BC37" s="483">
        <f t="shared" si="35"/>
        <v>345759.05830000003</v>
      </c>
      <c r="BD37" s="242">
        <v>10126.799999999999</v>
      </c>
      <c r="BE37" s="483">
        <v>80564.800000000003</v>
      </c>
      <c r="BF37" s="483">
        <v>13510.5</v>
      </c>
      <c r="BG37" s="483">
        <v>304487.8</v>
      </c>
      <c r="BH37" s="483">
        <f t="shared" si="20"/>
        <v>408689.89999999997</v>
      </c>
      <c r="BI37" s="265" t="s">
        <v>579</v>
      </c>
      <c r="BJ37" s="576">
        <v>5.62</v>
      </c>
      <c r="BK37" s="268">
        <v>5.99</v>
      </c>
      <c r="BL37" s="268">
        <v>4.1100000000000003</v>
      </c>
      <c r="BM37" s="268">
        <v>4.4000000000000004</v>
      </c>
      <c r="BN37" s="268">
        <v>1.89</v>
      </c>
      <c r="BO37" s="268" t="s">
        <v>298</v>
      </c>
      <c r="BP37" s="397">
        <v>3812</v>
      </c>
      <c r="BQ37" s="397">
        <v>1519</v>
      </c>
      <c r="BR37" s="397">
        <v>5631</v>
      </c>
      <c r="BS37" s="397">
        <v>63</v>
      </c>
      <c r="BT37" s="397">
        <f t="shared" si="21"/>
        <v>11025</v>
      </c>
      <c r="BU37" s="268">
        <f t="shared" si="36"/>
        <v>110.29241139864155</v>
      </c>
      <c r="BV37" s="268">
        <f t="shared" si="40"/>
        <v>144.26492154195012</v>
      </c>
      <c r="BW37" s="268">
        <f t="shared" si="38"/>
        <v>159.11326077097507</v>
      </c>
      <c r="BX37" s="268">
        <f t="shared" si="39"/>
        <v>5.8331246364869829</v>
      </c>
      <c r="BY37" s="268">
        <v>4</v>
      </c>
      <c r="BZ37" s="268">
        <v>4.22</v>
      </c>
      <c r="CA37" s="268">
        <v>7.18</v>
      </c>
      <c r="CB37" s="268">
        <f t="shared" si="26"/>
        <v>2.96</v>
      </c>
      <c r="CC37" s="268">
        <v>7.49</v>
      </c>
      <c r="CD37" s="268">
        <v>9.11</v>
      </c>
      <c r="CE37" s="268">
        <f t="shared" si="27"/>
        <v>1.6199999999999992</v>
      </c>
    </row>
    <row r="38" spans="1:83" s="170" customFormat="1" ht="11.1" customHeight="1">
      <c r="A38" s="168"/>
      <c r="B38" s="168"/>
      <c r="C38" s="168"/>
      <c r="D38" s="168"/>
      <c r="E38" s="168"/>
      <c r="F38" s="168"/>
      <c r="G38" s="168"/>
      <c r="H38" s="168"/>
      <c r="I38" s="341" t="s">
        <v>572</v>
      </c>
      <c r="J38" s="478">
        <v>290646.3</v>
      </c>
      <c r="K38" s="478">
        <v>1717.2</v>
      </c>
      <c r="L38" s="478">
        <f t="shared" si="7"/>
        <v>292363.5</v>
      </c>
      <c r="M38" s="478">
        <v>24182</v>
      </c>
      <c r="N38" s="478">
        <f t="shared" si="8"/>
        <v>268181.5</v>
      </c>
      <c r="O38" s="478">
        <v>32675.3</v>
      </c>
      <c r="P38" s="478">
        <v>104113.5</v>
      </c>
      <c r="Q38" s="478">
        <v>183741.4</v>
      </c>
      <c r="R38" s="478">
        <v>1305427.7</v>
      </c>
      <c r="S38" s="478">
        <f t="shared" si="9"/>
        <v>1489169.0999999999</v>
      </c>
      <c r="T38" s="478">
        <f t="shared" si="10"/>
        <v>1593282.5999999999</v>
      </c>
      <c r="U38" s="478">
        <v>618</v>
      </c>
      <c r="V38" s="478">
        <v>380011.69999999995</v>
      </c>
      <c r="W38" s="478">
        <f t="shared" si="11"/>
        <v>452540.9</v>
      </c>
      <c r="X38" s="478">
        <f t="shared" si="12"/>
        <v>1757968.6</v>
      </c>
      <c r="Y38" s="478">
        <v>2144175.1</v>
      </c>
      <c r="Z38" s="341" t="s">
        <v>572</v>
      </c>
      <c r="AA38" s="304">
        <v>0</v>
      </c>
      <c r="AB38" s="478">
        <v>46764</v>
      </c>
      <c r="AC38" s="478">
        <v>1364888</v>
      </c>
      <c r="AD38" s="478">
        <f t="shared" si="13"/>
        <v>1411652</v>
      </c>
      <c r="AE38" s="304">
        <v>0</v>
      </c>
      <c r="AF38" s="478">
        <v>1390.9</v>
      </c>
      <c r="AG38" s="478">
        <v>28153.599999999999</v>
      </c>
      <c r="AH38" s="478">
        <f t="shared" si="14"/>
        <v>29544.5</v>
      </c>
      <c r="AI38" s="481">
        <v>31581.9</v>
      </c>
      <c r="AJ38" s="481">
        <v>290263.7</v>
      </c>
      <c r="AK38" s="481">
        <v>26834.2</v>
      </c>
      <c r="AL38" s="481">
        <f t="shared" si="15"/>
        <v>317097.90000000002</v>
      </c>
      <c r="AM38" s="481">
        <f t="shared" si="32"/>
        <v>31581.9</v>
      </c>
      <c r="AN38" s="481">
        <f t="shared" si="32"/>
        <v>338418.60000000003</v>
      </c>
      <c r="AO38" s="481">
        <f t="shared" si="32"/>
        <v>1419875.8</v>
      </c>
      <c r="AP38" s="481">
        <f t="shared" si="32"/>
        <v>1758294.4</v>
      </c>
      <c r="AQ38" s="341" t="s">
        <v>572</v>
      </c>
      <c r="AR38" s="478">
        <v>10866.3</v>
      </c>
      <c r="AS38" s="478">
        <v>120447.6</v>
      </c>
      <c r="AT38" s="478">
        <v>38939.699999999997</v>
      </c>
      <c r="AU38" s="478">
        <v>1157.2</v>
      </c>
      <c r="AV38" s="478">
        <f>1593338.9-11.04</f>
        <v>1593327.8599999999</v>
      </c>
      <c r="AW38" s="478">
        <v>16505.099999999999</v>
      </c>
      <c r="AX38" s="478">
        <f t="shared" si="41"/>
        <v>1609832.96</v>
      </c>
      <c r="AY38" s="478">
        <f t="shared" si="33"/>
        <v>64393.318399999996</v>
      </c>
      <c r="AZ38" s="478">
        <f>BA38-AY38</f>
        <v>22632.507000000005</v>
      </c>
      <c r="BA38" s="478">
        <f>87030.2-4.3746</f>
        <v>87025.825400000002</v>
      </c>
      <c r="BB38" s="478">
        <v>4219408.8</v>
      </c>
      <c r="BC38" s="478">
        <f t="shared" si="35"/>
        <v>379389.32539999997</v>
      </c>
      <c r="BD38" s="901">
        <v>9659.7000000000007</v>
      </c>
      <c r="BE38" s="478">
        <v>94469.5</v>
      </c>
      <c r="BF38" s="478">
        <v>14314.4</v>
      </c>
      <c r="BG38" s="478">
        <v>285740.3</v>
      </c>
      <c r="BH38" s="478">
        <f t="shared" si="20"/>
        <v>404183.9</v>
      </c>
      <c r="BI38" s="341" t="s">
        <v>572</v>
      </c>
      <c r="BJ38" s="462">
        <v>3.64</v>
      </c>
      <c r="BK38" s="310">
        <v>12.93</v>
      </c>
      <c r="BL38" s="310">
        <v>5.54</v>
      </c>
      <c r="BM38" s="310">
        <v>5.38</v>
      </c>
      <c r="BN38" s="310">
        <v>2.92</v>
      </c>
      <c r="BO38" s="310" t="s">
        <v>298</v>
      </c>
      <c r="BP38" s="311">
        <v>3823</v>
      </c>
      <c r="BQ38" s="311">
        <v>1523</v>
      </c>
      <c r="BR38" s="311">
        <v>5744</v>
      </c>
      <c r="BS38" s="311">
        <v>63</v>
      </c>
      <c r="BT38" s="311">
        <f t="shared" si="21"/>
        <v>11153</v>
      </c>
      <c r="BU38" s="310">
        <f t="shared" ref="BU38:BU44" si="42">AP38/AV38*100</f>
        <v>110.35358410164247</v>
      </c>
      <c r="BV38" s="310">
        <f t="shared" si="40"/>
        <v>142.86092172509638</v>
      </c>
      <c r="BW38" s="310">
        <f t="shared" si="38"/>
        <v>157.65214740428584</v>
      </c>
      <c r="BX38" s="310">
        <f t="shared" si="39"/>
        <v>6.9795946077287576</v>
      </c>
      <c r="BY38" s="310">
        <v>4</v>
      </c>
      <c r="BZ38" s="310">
        <v>4.2300000000000004</v>
      </c>
      <c r="CA38" s="310">
        <v>7.22</v>
      </c>
      <c r="CB38" s="310">
        <f t="shared" si="26"/>
        <v>2.9899999999999993</v>
      </c>
      <c r="CC38" s="310">
        <v>7.74</v>
      </c>
      <c r="CD38" s="310">
        <v>8.89</v>
      </c>
      <c r="CE38" s="310">
        <f t="shared" si="27"/>
        <v>1.1500000000000004</v>
      </c>
    </row>
    <row r="39" spans="1:83" s="170" customFormat="1" ht="11.1" customHeight="1">
      <c r="A39" s="168"/>
      <c r="B39" s="168"/>
      <c r="C39" s="168"/>
      <c r="D39" s="168"/>
      <c r="E39" s="168"/>
      <c r="F39" s="168"/>
      <c r="G39" s="168"/>
      <c r="H39" s="168"/>
      <c r="I39" s="265" t="s">
        <v>580</v>
      </c>
      <c r="J39" s="483">
        <v>285416.2</v>
      </c>
      <c r="K39" s="483">
        <v>1727.1</v>
      </c>
      <c r="L39" s="483">
        <f t="shared" si="7"/>
        <v>287143.3</v>
      </c>
      <c r="M39" s="483">
        <v>24150.5</v>
      </c>
      <c r="N39" s="483">
        <f t="shared" si="8"/>
        <v>262992.8</v>
      </c>
      <c r="O39" s="483">
        <v>32026.6</v>
      </c>
      <c r="P39" s="483">
        <v>102759.9</v>
      </c>
      <c r="Q39" s="483">
        <v>179483</v>
      </c>
      <c r="R39" s="483">
        <v>1308288.3</v>
      </c>
      <c r="S39" s="483">
        <f t="shared" si="9"/>
        <v>1487771.3</v>
      </c>
      <c r="T39" s="483">
        <f t="shared" si="10"/>
        <v>1590531.2</v>
      </c>
      <c r="U39" s="483">
        <v>676.5</v>
      </c>
      <c r="V39" s="483">
        <v>352790.30000000005</v>
      </c>
      <c r="W39" s="483">
        <f t="shared" si="11"/>
        <v>443152.3</v>
      </c>
      <c r="X39" s="483">
        <f t="shared" si="12"/>
        <v>1751440.6</v>
      </c>
      <c r="Y39" s="483">
        <v>2139035.6000000006</v>
      </c>
      <c r="Z39" s="265" t="s">
        <v>580</v>
      </c>
      <c r="AA39" s="239">
        <v>0</v>
      </c>
      <c r="AB39" s="483">
        <v>49214.6</v>
      </c>
      <c r="AC39" s="483">
        <v>1361291.3</v>
      </c>
      <c r="AD39" s="483">
        <f t="shared" si="13"/>
        <v>1410505.9000000001</v>
      </c>
      <c r="AE39" s="239">
        <v>0</v>
      </c>
      <c r="AF39" s="483">
        <v>1359.9</v>
      </c>
      <c r="AG39" s="483">
        <v>31186.6</v>
      </c>
      <c r="AH39" s="483">
        <f t="shared" si="14"/>
        <v>32546.5</v>
      </c>
      <c r="AI39" s="494">
        <v>31426</v>
      </c>
      <c r="AJ39" s="494">
        <v>296699.90000000002</v>
      </c>
      <c r="AK39" s="494">
        <v>26992.5</v>
      </c>
      <c r="AL39" s="494">
        <f t="shared" si="15"/>
        <v>323692.40000000002</v>
      </c>
      <c r="AM39" s="494">
        <f t="shared" si="32"/>
        <v>31426</v>
      </c>
      <c r="AN39" s="494">
        <f t="shared" si="32"/>
        <v>347274.4</v>
      </c>
      <c r="AO39" s="494">
        <f t="shared" si="32"/>
        <v>1419470.4000000001</v>
      </c>
      <c r="AP39" s="494">
        <f t="shared" si="32"/>
        <v>1766744.8000000003</v>
      </c>
      <c r="AQ39" s="265" t="s">
        <v>580</v>
      </c>
      <c r="AR39" s="483">
        <v>11294.1</v>
      </c>
      <c r="AS39" s="483">
        <v>108098.5</v>
      </c>
      <c r="AT39" s="483">
        <v>39970.6</v>
      </c>
      <c r="AU39" s="483">
        <v>523</v>
      </c>
      <c r="AV39" s="483">
        <f>1590592.3-10.18</f>
        <v>1590582.12</v>
      </c>
      <c r="AW39" s="483">
        <v>16071.3</v>
      </c>
      <c r="AX39" s="483">
        <f t="shared" si="41"/>
        <v>1606653.4200000002</v>
      </c>
      <c r="AY39" s="483">
        <f t="shared" si="33"/>
        <v>64266.136800000007</v>
      </c>
      <c r="AZ39" s="483">
        <f t="shared" si="34"/>
        <v>701.69229999999516</v>
      </c>
      <c r="BA39" s="483">
        <f>64970.5-2.6709</f>
        <v>64967.829100000003</v>
      </c>
      <c r="BB39" s="483">
        <v>4236590.4000000004</v>
      </c>
      <c r="BC39" s="483">
        <f t="shared" ref="BC39:BC51" si="43">L39+BA39</f>
        <v>352111.12910000002</v>
      </c>
      <c r="BD39" s="242">
        <v>4126.8</v>
      </c>
      <c r="BE39" s="483">
        <v>102814.6</v>
      </c>
      <c r="BF39" s="483">
        <v>15131.7</v>
      </c>
      <c r="BG39" s="483">
        <v>292193.59999999998</v>
      </c>
      <c r="BH39" s="483">
        <f t="shared" si="20"/>
        <v>414266.7</v>
      </c>
      <c r="BI39" s="265" t="s">
        <v>580</v>
      </c>
      <c r="BJ39" s="576">
        <v>7.16</v>
      </c>
      <c r="BK39" s="268">
        <v>17.11</v>
      </c>
      <c r="BL39" s="268">
        <v>5.53</v>
      </c>
      <c r="BM39" s="268">
        <v>6.07</v>
      </c>
      <c r="BN39" s="268">
        <v>2.54</v>
      </c>
      <c r="BO39" s="268" t="s">
        <v>298</v>
      </c>
      <c r="BP39" s="397">
        <v>3823</v>
      </c>
      <c r="BQ39" s="397">
        <v>1523</v>
      </c>
      <c r="BR39" s="397">
        <v>5748</v>
      </c>
      <c r="BS39" s="397">
        <v>63</v>
      </c>
      <c r="BT39" s="397">
        <f t="shared" si="21"/>
        <v>11157</v>
      </c>
      <c r="BU39" s="268">
        <f t="shared" si="42"/>
        <v>111.07535900126931</v>
      </c>
      <c r="BV39" s="268">
        <f t="shared" si="40"/>
        <v>142.56360311911806</v>
      </c>
      <c r="BW39" s="268">
        <f t="shared" ref="BW39:BW44" si="44">AP39/BT39</f>
        <v>158.35303396970514</v>
      </c>
      <c r="BX39" s="268">
        <f t="shared" si="39"/>
        <v>5.6028750719264968</v>
      </c>
      <c r="BY39" s="268">
        <v>4</v>
      </c>
      <c r="BZ39" s="268">
        <v>4.29</v>
      </c>
      <c r="CA39" s="268">
        <v>7.24</v>
      </c>
      <c r="CB39" s="268">
        <f t="shared" si="26"/>
        <v>2.95</v>
      </c>
      <c r="CC39" s="268">
        <v>7.74</v>
      </c>
      <c r="CD39" s="268">
        <v>8.8800000000000008</v>
      </c>
      <c r="CE39" s="268">
        <f t="shared" si="27"/>
        <v>1.1400000000000006</v>
      </c>
    </row>
    <row r="40" spans="1:83" s="170" customFormat="1" ht="11.1" customHeight="1">
      <c r="A40" s="168"/>
      <c r="B40" s="168"/>
      <c r="C40" s="168"/>
      <c r="D40" s="168"/>
      <c r="E40" s="168"/>
      <c r="F40" s="168"/>
      <c r="G40" s="168"/>
      <c r="H40" s="168"/>
      <c r="I40" s="341" t="s">
        <v>581</v>
      </c>
      <c r="J40" s="478">
        <v>280759.2</v>
      </c>
      <c r="K40" s="478">
        <v>1735.6</v>
      </c>
      <c r="L40" s="478">
        <f t="shared" si="7"/>
        <v>282494.8</v>
      </c>
      <c r="M40" s="478">
        <v>24827.200000000001</v>
      </c>
      <c r="N40" s="478">
        <f t="shared" si="8"/>
        <v>257667.59999999998</v>
      </c>
      <c r="O40" s="478">
        <v>31594.2</v>
      </c>
      <c r="P40" s="478">
        <v>103435.1</v>
      </c>
      <c r="Q40" s="478">
        <v>179033.5</v>
      </c>
      <c r="R40" s="478">
        <v>1325733.6000000001</v>
      </c>
      <c r="S40" s="478">
        <f t="shared" si="9"/>
        <v>1504767.1</v>
      </c>
      <c r="T40" s="478">
        <f t="shared" si="10"/>
        <v>1608202.2000000002</v>
      </c>
      <c r="U40" s="478">
        <v>597.29999999999995</v>
      </c>
      <c r="V40" s="478">
        <v>350346.89999999997</v>
      </c>
      <c r="W40" s="478">
        <f t="shared" si="11"/>
        <v>437298.39999999997</v>
      </c>
      <c r="X40" s="478">
        <f t="shared" si="12"/>
        <v>1763032</v>
      </c>
      <c r="Y40" s="478">
        <v>2149278.1189999999</v>
      </c>
      <c r="Z40" s="341" t="s">
        <v>581</v>
      </c>
      <c r="AA40" s="304">
        <v>0</v>
      </c>
      <c r="AB40" s="478">
        <v>49210.5</v>
      </c>
      <c r="AC40" s="478">
        <v>1367393.3</v>
      </c>
      <c r="AD40" s="478">
        <f t="shared" si="13"/>
        <v>1416603.8</v>
      </c>
      <c r="AE40" s="304">
        <v>0</v>
      </c>
      <c r="AF40" s="478">
        <v>1326.7</v>
      </c>
      <c r="AG40" s="478">
        <v>32932.300000000003</v>
      </c>
      <c r="AH40" s="478">
        <f t="shared" si="14"/>
        <v>34259</v>
      </c>
      <c r="AI40" s="481">
        <v>31313.200000000001</v>
      </c>
      <c r="AJ40" s="481">
        <v>302004.3</v>
      </c>
      <c r="AK40" s="481">
        <v>26812.400000000001</v>
      </c>
      <c r="AL40" s="481">
        <f t="shared" si="15"/>
        <v>328816.7</v>
      </c>
      <c r="AM40" s="481">
        <f t="shared" si="32"/>
        <v>31313.200000000001</v>
      </c>
      <c r="AN40" s="481">
        <f t="shared" si="32"/>
        <v>352541.5</v>
      </c>
      <c r="AO40" s="481">
        <f t="shared" si="32"/>
        <v>1427138</v>
      </c>
      <c r="AP40" s="481">
        <f t="shared" si="32"/>
        <v>1779679.5</v>
      </c>
      <c r="AQ40" s="341" t="s">
        <v>581</v>
      </c>
      <c r="AR40" s="478">
        <v>10998.3</v>
      </c>
      <c r="AS40" s="478">
        <v>107577</v>
      </c>
      <c r="AT40" s="478">
        <v>39987.699999999997</v>
      </c>
      <c r="AU40" s="478">
        <v>343.3</v>
      </c>
      <c r="AV40" s="478">
        <f>1608263.8-10.12</f>
        <v>1608253.68</v>
      </c>
      <c r="AW40" s="478">
        <v>16060.3</v>
      </c>
      <c r="AX40" s="478">
        <f t="shared" si="41"/>
        <v>1624313.98</v>
      </c>
      <c r="AY40" s="478">
        <f t="shared" si="33"/>
        <v>64972.559200000003</v>
      </c>
      <c r="AZ40" s="478">
        <f t="shared" si="34"/>
        <v>2278.9434000000037</v>
      </c>
      <c r="BA40" s="478">
        <f>67254.8-3.2974</f>
        <v>67251.502600000007</v>
      </c>
      <c r="BB40" s="478">
        <v>4298076.5999999996</v>
      </c>
      <c r="BC40" s="478">
        <f t="shared" si="43"/>
        <v>349746.3026</v>
      </c>
      <c r="BD40" s="901">
        <v>6516.1</v>
      </c>
      <c r="BE40" s="478">
        <v>107581.1</v>
      </c>
      <c r="BF40" s="478">
        <v>15567.1</v>
      </c>
      <c r="BG40" s="478">
        <v>297345</v>
      </c>
      <c r="BH40" s="478">
        <f t="shared" si="20"/>
        <v>427009.29999999993</v>
      </c>
      <c r="BI40" s="341" t="s">
        <v>581</v>
      </c>
      <c r="BJ40" s="462">
        <v>9.3699999999999992</v>
      </c>
      <c r="BK40" s="310">
        <v>16.27</v>
      </c>
      <c r="BL40" s="310">
        <v>6.13</v>
      </c>
      <c r="BM40" s="310">
        <v>6.91</v>
      </c>
      <c r="BN40" s="310">
        <v>3.21</v>
      </c>
      <c r="BO40" s="310" t="s">
        <v>298</v>
      </c>
      <c r="BP40" s="311">
        <v>3823</v>
      </c>
      <c r="BQ40" s="311">
        <v>1523</v>
      </c>
      <c r="BR40" s="311">
        <v>5748</v>
      </c>
      <c r="BS40" s="311">
        <v>63</v>
      </c>
      <c r="BT40" s="311">
        <f t="shared" si="21"/>
        <v>11157</v>
      </c>
      <c r="BU40" s="310">
        <f t="shared" si="42"/>
        <v>110.65912810471544</v>
      </c>
      <c r="BV40" s="310">
        <f t="shared" si="40"/>
        <v>144.14750201667115</v>
      </c>
      <c r="BW40" s="310">
        <f t="shared" si="44"/>
        <v>159.51236891637538</v>
      </c>
      <c r="BX40" s="310">
        <f t="shared" si="39"/>
        <v>5.7253842316717103</v>
      </c>
      <c r="BY40" s="310">
        <v>4</v>
      </c>
      <c r="BZ40" s="310">
        <v>4.3099999999999996</v>
      </c>
      <c r="CA40" s="310">
        <v>7.27</v>
      </c>
      <c r="CB40" s="310">
        <f t="shared" si="26"/>
        <v>2.96</v>
      </c>
      <c r="CC40" s="310">
        <v>7.72</v>
      </c>
      <c r="CD40" s="310">
        <v>8.8699999999999992</v>
      </c>
      <c r="CE40" s="310">
        <f t="shared" si="27"/>
        <v>1.1499999999999995</v>
      </c>
    </row>
    <row r="41" spans="1:83" s="170" customFormat="1" ht="11.1" customHeight="1">
      <c r="A41" s="168"/>
      <c r="B41" s="168"/>
      <c r="C41" s="168"/>
      <c r="D41" s="168"/>
      <c r="E41" s="168"/>
      <c r="F41" s="168"/>
      <c r="G41" s="168"/>
      <c r="H41" s="168"/>
      <c r="I41" s="265" t="s">
        <v>573</v>
      </c>
      <c r="J41" s="483">
        <v>277214.3</v>
      </c>
      <c r="K41" s="483">
        <v>1747</v>
      </c>
      <c r="L41" s="483">
        <f t="shared" si="7"/>
        <v>278961.3</v>
      </c>
      <c r="M41" s="483">
        <v>24292.7</v>
      </c>
      <c r="N41" s="483">
        <f t="shared" si="8"/>
        <v>254668.59999999998</v>
      </c>
      <c r="O41" s="483">
        <v>31392.3</v>
      </c>
      <c r="P41" s="483">
        <v>99075.9</v>
      </c>
      <c r="Q41" s="483">
        <v>179888.6</v>
      </c>
      <c r="R41" s="483">
        <v>1343407.5</v>
      </c>
      <c r="S41" s="483">
        <f t="shared" si="9"/>
        <v>1523296.1</v>
      </c>
      <c r="T41" s="483">
        <f t="shared" si="10"/>
        <v>1622372</v>
      </c>
      <c r="U41" s="483">
        <v>695.1</v>
      </c>
      <c r="V41" s="483">
        <v>345601.80000000005</v>
      </c>
      <c r="W41" s="483">
        <f t="shared" si="11"/>
        <v>435252.29999999993</v>
      </c>
      <c r="X41" s="483">
        <f t="shared" si="12"/>
        <v>1778659.7999999998</v>
      </c>
      <c r="Y41" s="483">
        <v>2163524.2069999999</v>
      </c>
      <c r="Z41" s="265" t="s">
        <v>573</v>
      </c>
      <c r="AA41" s="239">
        <v>0</v>
      </c>
      <c r="AB41" s="483">
        <v>51076.7</v>
      </c>
      <c r="AC41" s="483">
        <v>1377660.4</v>
      </c>
      <c r="AD41" s="483">
        <f t="shared" si="13"/>
        <v>1428737.0999999999</v>
      </c>
      <c r="AE41" s="239">
        <v>0</v>
      </c>
      <c r="AF41" s="483">
        <v>1246.7</v>
      </c>
      <c r="AG41" s="483">
        <v>35028.800000000003</v>
      </c>
      <c r="AH41" s="483">
        <f t="shared" si="14"/>
        <v>36275.5</v>
      </c>
      <c r="AI41" s="494">
        <v>31289.3</v>
      </c>
      <c r="AJ41" s="494">
        <v>307873.3</v>
      </c>
      <c r="AK41" s="494">
        <v>26925.9</v>
      </c>
      <c r="AL41" s="494">
        <f t="shared" si="15"/>
        <v>334799.2</v>
      </c>
      <c r="AM41" s="494">
        <f t="shared" si="32"/>
        <v>31289.3</v>
      </c>
      <c r="AN41" s="494">
        <f t="shared" si="32"/>
        <v>360196.69999999995</v>
      </c>
      <c r="AO41" s="494">
        <f t="shared" si="32"/>
        <v>1439615.0999999999</v>
      </c>
      <c r="AP41" s="494">
        <f t="shared" si="32"/>
        <v>1799811.7999999998</v>
      </c>
      <c r="AQ41" s="265" t="s">
        <v>573</v>
      </c>
      <c r="AR41" s="483">
        <v>9834.2999999999993</v>
      </c>
      <c r="AS41" s="483">
        <v>112160</v>
      </c>
      <c r="AT41" s="483">
        <v>42137.3</v>
      </c>
      <c r="AU41" s="483">
        <v>287.89999999999998</v>
      </c>
      <c r="AV41" s="483">
        <f>1622432.5-10.35</f>
        <v>1622422.15</v>
      </c>
      <c r="AW41" s="483">
        <v>16833.8</v>
      </c>
      <c r="AX41" s="483">
        <f t="shared" si="41"/>
        <v>1639255.95</v>
      </c>
      <c r="AY41" s="483">
        <f t="shared" si="33"/>
        <v>65570.237999999998</v>
      </c>
      <c r="AZ41" s="483">
        <f t="shared" si="34"/>
        <v>372.35659999999916</v>
      </c>
      <c r="BA41" s="483">
        <f>65945.4-2.8054</f>
        <v>65942.594599999997</v>
      </c>
      <c r="BB41" s="483">
        <v>4364604.8</v>
      </c>
      <c r="BC41" s="483">
        <f t="shared" si="43"/>
        <v>344903.8946</v>
      </c>
      <c r="BD41" s="242">
        <v>6516.1</v>
      </c>
      <c r="BE41" s="483">
        <v>110361.8</v>
      </c>
      <c r="BF41" s="483">
        <v>15918.4</v>
      </c>
      <c r="BG41" s="483">
        <v>303316.8</v>
      </c>
      <c r="BH41" s="483">
        <f t="shared" si="20"/>
        <v>436113.1</v>
      </c>
      <c r="BI41" s="265" t="s">
        <v>573</v>
      </c>
      <c r="BJ41" s="576">
        <v>14.56</v>
      </c>
      <c r="BK41" s="268">
        <v>19.86</v>
      </c>
      <c r="BL41" s="268">
        <v>7.07</v>
      </c>
      <c r="BM41" s="268">
        <v>8.6300000000000008</v>
      </c>
      <c r="BN41" s="268">
        <v>4.13</v>
      </c>
      <c r="BO41" s="268" t="s">
        <v>298</v>
      </c>
      <c r="BP41" s="397">
        <v>3825</v>
      </c>
      <c r="BQ41" s="397">
        <v>1523</v>
      </c>
      <c r="BR41" s="397">
        <v>5754</v>
      </c>
      <c r="BS41" s="397">
        <v>63</v>
      </c>
      <c r="BT41" s="397">
        <f t="shared" si="21"/>
        <v>11165</v>
      </c>
      <c r="BU41" s="268">
        <f t="shared" si="42"/>
        <v>110.93363092953335</v>
      </c>
      <c r="BV41" s="268">
        <f t="shared" si="40"/>
        <v>145.31322436184504</v>
      </c>
      <c r="BW41" s="268">
        <f t="shared" si="44"/>
        <v>161.20123600537391</v>
      </c>
      <c r="BX41" s="268">
        <f t="shared" si="39"/>
        <v>5.5617642177777222</v>
      </c>
      <c r="BY41" s="268">
        <v>4</v>
      </c>
      <c r="BZ41" s="268">
        <v>4.3499999999999996</v>
      </c>
      <c r="CA41" s="268">
        <v>7.31</v>
      </c>
      <c r="CB41" s="268">
        <f t="shared" si="26"/>
        <v>2.96</v>
      </c>
      <c r="CC41" s="268">
        <v>7.78</v>
      </c>
      <c r="CD41" s="268">
        <v>8.89</v>
      </c>
      <c r="CE41" s="268">
        <f t="shared" si="27"/>
        <v>1.1100000000000003</v>
      </c>
    </row>
    <row r="42" spans="1:83" s="170" customFormat="1" ht="11.1" customHeight="1">
      <c r="A42" s="168"/>
      <c r="B42" s="168"/>
      <c r="C42" s="168"/>
      <c r="D42" s="168"/>
      <c r="E42" s="168"/>
      <c r="F42" s="168"/>
      <c r="G42" s="168"/>
      <c r="H42" s="168"/>
      <c r="I42" s="341" t="s">
        <v>582</v>
      </c>
      <c r="J42" s="478">
        <v>289874.7</v>
      </c>
      <c r="K42" s="478">
        <v>1773.6</v>
      </c>
      <c r="L42" s="478">
        <f t="shared" si="7"/>
        <v>291648.3</v>
      </c>
      <c r="M42" s="478">
        <v>28274.7</v>
      </c>
      <c r="N42" s="478">
        <f t="shared" si="8"/>
        <v>263373.59999999998</v>
      </c>
      <c r="O42" s="478">
        <v>32640.6</v>
      </c>
      <c r="P42" s="478">
        <v>96831.8</v>
      </c>
      <c r="Q42" s="478">
        <v>184287.8</v>
      </c>
      <c r="R42" s="478">
        <v>1363910.6</v>
      </c>
      <c r="S42" s="478">
        <f t="shared" si="9"/>
        <v>1548198.4000000001</v>
      </c>
      <c r="T42" s="478">
        <f t="shared" si="10"/>
        <v>1645030.2000000002</v>
      </c>
      <c r="U42" s="478">
        <v>619.1</v>
      </c>
      <c r="V42" s="478">
        <v>357612.29999999993</v>
      </c>
      <c r="W42" s="478">
        <f t="shared" si="11"/>
        <v>448280.49999999994</v>
      </c>
      <c r="X42" s="478">
        <f t="shared" si="12"/>
        <v>1812191.1</v>
      </c>
      <c r="Y42" s="478">
        <v>2196458.63</v>
      </c>
      <c r="Z42" s="341" t="s">
        <v>582</v>
      </c>
      <c r="AA42" s="304">
        <v>0</v>
      </c>
      <c r="AB42" s="478">
        <v>49765.8</v>
      </c>
      <c r="AC42" s="478">
        <v>1385547.3</v>
      </c>
      <c r="AD42" s="478">
        <f t="shared" si="13"/>
        <v>1435313.1</v>
      </c>
      <c r="AE42" s="304">
        <v>0</v>
      </c>
      <c r="AF42" s="478">
        <v>1272.2</v>
      </c>
      <c r="AG42" s="478">
        <v>37476.699999999997</v>
      </c>
      <c r="AH42" s="478">
        <f t="shared" si="14"/>
        <v>38748.899999999994</v>
      </c>
      <c r="AI42" s="481">
        <v>31246.3</v>
      </c>
      <c r="AJ42" s="481">
        <v>311972</v>
      </c>
      <c r="AK42" s="481">
        <v>27010</v>
      </c>
      <c r="AL42" s="481">
        <f t="shared" si="15"/>
        <v>338982</v>
      </c>
      <c r="AM42" s="481">
        <f t="shared" si="32"/>
        <v>31246.3</v>
      </c>
      <c r="AN42" s="481">
        <f t="shared" si="32"/>
        <v>363010</v>
      </c>
      <c r="AO42" s="481">
        <f t="shared" si="32"/>
        <v>1450034</v>
      </c>
      <c r="AP42" s="481">
        <f t="shared" si="32"/>
        <v>1813044</v>
      </c>
      <c r="AQ42" s="341" t="s">
        <v>582</v>
      </c>
      <c r="AR42" s="478">
        <v>9233.1</v>
      </c>
      <c r="AS42" s="478">
        <v>106235.5</v>
      </c>
      <c r="AT42" s="478">
        <v>44019.4</v>
      </c>
      <c r="AU42" s="478">
        <v>402.1</v>
      </c>
      <c r="AV42" s="478">
        <f>1645090.9-10.52</f>
        <v>1645080.38</v>
      </c>
      <c r="AW42" s="478">
        <v>17112.2</v>
      </c>
      <c r="AX42" s="478">
        <f t="shared" si="41"/>
        <v>1662192.5799999998</v>
      </c>
      <c r="AY42" s="478">
        <f t="shared" si="33"/>
        <v>66487.703199999989</v>
      </c>
      <c r="AZ42" s="478">
        <f t="shared" si="34"/>
        <v>-1146.2509999999893</v>
      </c>
      <c r="BA42" s="478">
        <f>65344.9-3.4478</f>
        <v>65341.4522</v>
      </c>
      <c r="BB42" s="478">
        <v>4425295.9000000004</v>
      </c>
      <c r="BC42" s="478">
        <f t="shared" si="43"/>
        <v>356989.75219999999</v>
      </c>
      <c r="BD42" s="901">
        <v>13154.1</v>
      </c>
      <c r="BE42" s="478">
        <v>121876.4</v>
      </c>
      <c r="BF42" s="478">
        <v>15180.9</v>
      </c>
      <c r="BG42" s="478">
        <v>307440.5</v>
      </c>
      <c r="BH42" s="478">
        <f t="shared" si="20"/>
        <v>457651.9</v>
      </c>
      <c r="BI42" s="341" t="s">
        <v>582</v>
      </c>
      <c r="BJ42" s="462">
        <v>25.36</v>
      </c>
      <c r="BK42" s="310">
        <v>19.010000000000002</v>
      </c>
      <c r="BL42" s="310">
        <v>7.86</v>
      </c>
      <c r="BM42" s="310">
        <v>11.07</v>
      </c>
      <c r="BN42" s="310">
        <v>6.09</v>
      </c>
      <c r="BO42" s="310" t="s">
        <v>298</v>
      </c>
      <c r="BP42" s="311">
        <v>3823</v>
      </c>
      <c r="BQ42" s="311">
        <v>1523</v>
      </c>
      <c r="BR42" s="311">
        <v>5758</v>
      </c>
      <c r="BS42" s="311">
        <v>63</v>
      </c>
      <c r="BT42" s="311">
        <f t="shared" si="21"/>
        <v>11167</v>
      </c>
      <c r="BU42" s="310">
        <f t="shared" si="42"/>
        <v>110.21005551108696</v>
      </c>
      <c r="BV42" s="310">
        <f t="shared" si="40"/>
        <v>147.31623354526729</v>
      </c>
      <c r="BW42" s="310">
        <f t="shared" si="44"/>
        <v>162.35730276708159</v>
      </c>
      <c r="BX42" s="310">
        <f t="shared" si="39"/>
        <v>5.6906734368809389</v>
      </c>
      <c r="BY42" s="310">
        <v>4</v>
      </c>
      <c r="BZ42" s="310">
        <v>4.38</v>
      </c>
      <c r="CA42" s="310">
        <v>7.29</v>
      </c>
      <c r="CB42" s="310">
        <f t="shared" si="26"/>
        <v>2.91</v>
      </c>
      <c r="CC42" s="310">
        <v>7.83</v>
      </c>
      <c r="CD42" s="310">
        <v>8.27</v>
      </c>
      <c r="CE42" s="310">
        <f t="shared" si="27"/>
        <v>0.4399999999999995</v>
      </c>
    </row>
    <row r="43" spans="1:83" s="170" customFormat="1" ht="11.1" customHeight="1">
      <c r="A43" s="168"/>
      <c r="B43" s="168"/>
      <c r="C43" s="168"/>
      <c r="D43" s="168"/>
      <c r="E43" s="168"/>
      <c r="F43" s="168"/>
      <c r="G43" s="168"/>
      <c r="H43" s="168"/>
      <c r="I43" s="265" t="s">
        <v>583</v>
      </c>
      <c r="J43" s="483">
        <v>278217.09999999998</v>
      </c>
      <c r="K43" s="483">
        <v>1784.4</v>
      </c>
      <c r="L43" s="483">
        <f t="shared" si="7"/>
        <v>280001.5</v>
      </c>
      <c r="M43" s="483">
        <v>24171.599999999999</v>
      </c>
      <c r="N43" s="483">
        <f t="shared" si="8"/>
        <v>255829.9</v>
      </c>
      <c r="O43" s="483">
        <v>33917.9</v>
      </c>
      <c r="P43" s="483">
        <v>99908.5</v>
      </c>
      <c r="Q43" s="483">
        <v>184347.5</v>
      </c>
      <c r="R43" s="483">
        <v>1379152.2</v>
      </c>
      <c r="S43" s="483">
        <f t="shared" si="9"/>
        <v>1563499.7</v>
      </c>
      <c r="T43" s="483">
        <f t="shared" si="10"/>
        <v>1663408.2</v>
      </c>
      <c r="U43" s="483">
        <v>580</v>
      </c>
      <c r="V43" s="483">
        <v>348268.7</v>
      </c>
      <c r="W43" s="483">
        <f t="shared" si="11"/>
        <v>440757.4</v>
      </c>
      <c r="X43" s="483">
        <f t="shared" si="12"/>
        <v>1819909.6</v>
      </c>
      <c r="Y43" s="483">
        <v>2203921.79</v>
      </c>
      <c r="Z43" s="265" t="s">
        <v>583</v>
      </c>
      <c r="AA43" s="239">
        <v>0</v>
      </c>
      <c r="AB43" s="483">
        <v>50430.400000000001</v>
      </c>
      <c r="AC43" s="483">
        <v>1397397.7</v>
      </c>
      <c r="AD43" s="483">
        <f t="shared" si="13"/>
        <v>1447828.0999999999</v>
      </c>
      <c r="AE43" s="239">
        <v>0</v>
      </c>
      <c r="AF43" s="483">
        <v>1177.9000000000001</v>
      </c>
      <c r="AG43" s="483">
        <v>38294.699999999997</v>
      </c>
      <c r="AH43" s="483">
        <f t="shared" si="14"/>
        <v>39472.6</v>
      </c>
      <c r="AI43" s="494">
        <v>30710.400000000001</v>
      </c>
      <c r="AJ43" s="494">
        <v>324264.90000000002</v>
      </c>
      <c r="AK43" s="494">
        <v>27100.6</v>
      </c>
      <c r="AL43" s="494">
        <f t="shared" si="15"/>
        <v>351365.5</v>
      </c>
      <c r="AM43" s="494">
        <f t="shared" si="32"/>
        <v>30710.400000000001</v>
      </c>
      <c r="AN43" s="494">
        <f t="shared" si="32"/>
        <v>375873.2</v>
      </c>
      <c r="AO43" s="494">
        <f t="shared" si="32"/>
        <v>1462793</v>
      </c>
      <c r="AP43" s="494">
        <f t="shared" si="32"/>
        <v>1838666.2</v>
      </c>
      <c r="AQ43" s="265" t="s">
        <v>583</v>
      </c>
      <c r="AR43" s="483">
        <v>9040.4</v>
      </c>
      <c r="AS43" s="483">
        <v>106679.8</v>
      </c>
      <c r="AT43" s="483">
        <v>43161.7</v>
      </c>
      <c r="AU43" s="483">
        <v>173.8</v>
      </c>
      <c r="AV43" s="483">
        <f>1663463-10.2</f>
        <v>1663452.8</v>
      </c>
      <c r="AW43" s="483">
        <v>17287.8</v>
      </c>
      <c r="AX43" s="483">
        <f t="shared" si="41"/>
        <v>1680740.6</v>
      </c>
      <c r="AY43" s="483">
        <f t="shared" si="33"/>
        <v>67229.624000000011</v>
      </c>
      <c r="AZ43" s="483">
        <f t="shared" si="34"/>
        <v>452.29319999998552</v>
      </c>
      <c r="BA43" s="483">
        <f>67687.2-5.2828</f>
        <v>67681.917199999996</v>
      </c>
      <c r="BB43" s="483">
        <v>4501093.3</v>
      </c>
      <c r="BC43" s="483">
        <f t="shared" si="43"/>
        <v>347683.41720000003</v>
      </c>
      <c r="BD43" s="242">
        <v>6715.4</v>
      </c>
      <c r="BE43" s="483">
        <v>125694.9</v>
      </c>
      <c r="BF43" s="483">
        <v>15059.2</v>
      </c>
      <c r="BG43" s="483">
        <v>319748.90000000002</v>
      </c>
      <c r="BH43" s="483">
        <f t="shared" si="20"/>
        <v>467218.4</v>
      </c>
      <c r="BI43" s="265" t="s">
        <v>583</v>
      </c>
      <c r="BJ43" s="576">
        <v>27.49</v>
      </c>
      <c r="BK43" s="268">
        <v>20.84</v>
      </c>
      <c r="BL43" s="268">
        <v>8.81</v>
      </c>
      <c r="BM43" s="268">
        <v>12.25</v>
      </c>
      <c r="BN43" s="268">
        <v>6.54</v>
      </c>
      <c r="BO43" s="268" t="s">
        <v>298</v>
      </c>
      <c r="BP43" s="397">
        <v>3823</v>
      </c>
      <c r="BQ43" s="397">
        <v>1523</v>
      </c>
      <c r="BR43" s="397">
        <v>5767</v>
      </c>
      <c r="BS43" s="397">
        <v>63</v>
      </c>
      <c r="BT43" s="397">
        <f t="shared" si="21"/>
        <v>11176</v>
      </c>
      <c r="BU43" s="268">
        <f t="shared" si="42"/>
        <v>110.53311521673473</v>
      </c>
      <c r="BV43" s="268">
        <f t="shared" ref="BV43:BV44" si="45">AV43/BT43</f>
        <v>148.84151753758053</v>
      </c>
      <c r="BW43" s="268">
        <f t="shared" si="44"/>
        <v>164.51916607015031</v>
      </c>
      <c r="BX43" s="268">
        <f t="shared" ref="BX43:BX44" si="46">(M43+BA43)/AV43*100</f>
        <v>5.5218589430370368</v>
      </c>
      <c r="BY43" s="268">
        <v>4</v>
      </c>
      <c r="BZ43" s="268">
        <v>4.41</v>
      </c>
      <c r="CA43" s="268">
        <v>7.32</v>
      </c>
      <c r="CB43" s="268">
        <f t="shared" si="26"/>
        <v>2.91</v>
      </c>
      <c r="CC43" s="268">
        <v>7.88</v>
      </c>
      <c r="CD43" s="268">
        <v>8.25</v>
      </c>
      <c r="CE43" s="268">
        <f t="shared" si="27"/>
        <v>0.37000000000000011</v>
      </c>
    </row>
    <row r="44" spans="1:83" s="170" customFormat="1" ht="11.1" customHeight="1">
      <c r="A44" s="168"/>
      <c r="B44" s="168"/>
      <c r="C44" s="168"/>
      <c r="D44" s="168"/>
      <c r="E44" s="168"/>
      <c r="F44" s="168"/>
      <c r="G44" s="168"/>
      <c r="H44" s="168"/>
      <c r="I44" s="341" t="s">
        <v>574</v>
      </c>
      <c r="J44" s="478">
        <v>310153.40000000002</v>
      </c>
      <c r="K44" s="478">
        <v>1794.4</v>
      </c>
      <c r="L44" s="478">
        <f>J44+K44</f>
        <v>311947.80000000005</v>
      </c>
      <c r="M44" s="478">
        <v>20034.3</v>
      </c>
      <c r="N44" s="478">
        <f>L44-M44</f>
        <v>291913.50000000006</v>
      </c>
      <c r="O44" s="478">
        <v>33759.4</v>
      </c>
      <c r="P44" s="478">
        <v>103350.9</v>
      </c>
      <c r="Q44" s="478">
        <v>199304.3</v>
      </c>
      <c r="R44" s="478">
        <v>1395280.2</v>
      </c>
      <c r="S44" s="478">
        <f>Q44+R44</f>
        <v>1594584.5</v>
      </c>
      <c r="T44" s="478">
        <f t="shared" si="10"/>
        <v>1697935.4</v>
      </c>
      <c r="U44" s="478">
        <v>670.1</v>
      </c>
      <c r="V44" s="478">
        <v>383585.19999999995</v>
      </c>
      <c r="W44" s="478">
        <f t="shared" si="11"/>
        <v>491887.9</v>
      </c>
      <c r="X44" s="478">
        <f t="shared" si="12"/>
        <v>1887168.1</v>
      </c>
      <c r="Y44" s="478">
        <v>2273892.4900000002</v>
      </c>
      <c r="Z44" s="341" t="s">
        <v>574</v>
      </c>
      <c r="AA44" s="304">
        <v>0</v>
      </c>
      <c r="AB44" s="478">
        <v>51470.2</v>
      </c>
      <c r="AC44" s="478">
        <v>1421339.2</v>
      </c>
      <c r="AD44" s="478">
        <f t="shared" si="13"/>
        <v>1472809.4</v>
      </c>
      <c r="AE44" s="304">
        <v>0</v>
      </c>
      <c r="AF44" s="478">
        <v>807.9</v>
      </c>
      <c r="AG44" s="478">
        <v>38453</v>
      </c>
      <c r="AH44" s="478">
        <f>AF44+AG44</f>
        <v>39260.9</v>
      </c>
      <c r="AI44" s="481">
        <v>30458.2</v>
      </c>
      <c r="AJ44" s="481">
        <v>329477.8</v>
      </c>
      <c r="AK44" s="481">
        <v>27112.7</v>
      </c>
      <c r="AL44" s="481">
        <f t="shared" si="15"/>
        <v>356590.5</v>
      </c>
      <c r="AM44" s="481">
        <f>AA44+AE44+AI44</f>
        <v>30458.2</v>
      </c>
      <c r="AN44" s="481">
        <f t="shared" si="32"/>
        <v>381755.89999999997</v>
      </c>
      <c r="AO44" s="481">
        <f t="shared" si="32"/>
        <v>1486904.9</v>
      </c>
      <c r="AP44" s="481">
        <f t="shared" si="32"/>
        <v>1868660.7999999998</v>
      </c>
      <c r="AQ44" s="341" t="s">
        <v>574</v>
      </c>
      <c r="AR44" s="478">
        <v>9730.7999999999993</v>
      </c>
      <c r="AS44" s="478">
        <v>105117.8</v>
      </c>
      <c r="AT44" s="478">
        <v>44627.199999999997</v>
      </c>
      <c r="AU44" s="478">
        <v>115.4</v>
      </c>
      <c r="AV44" s="478">
        <f>1697986.1-10.19</f>
        <v>1697975.9100000001</v>
      </c>
      <c r="AW44" s="478">
        <v>17873.2</v>
      </c>
      <c r="AX44" s="478">
        <f t="shared" si="41"/>
        <v>1715849.11</v>
      </c>
      <c r="AY44" s="478">
        <f t="shared" si="33"/>
        <v>68633.964400000012</v>
      </c>
      <c r="AZ44" s="478">
        <f t="shared" si="34"/>
        <v>2330.6837999999843</v>
      </c>
      <c r="BA44" s="478">
        <f>70967.3-2.6518</f>
        <v>70964.648199999996</v>
      </c>
      <c r="BB44" s="478">
        <v>4601082.2</v>
      </c>
      <c r="BC44" s="478">
        <f t="shared" si="43"/>
        <v>382912.44820000004</v>
      </c>
      <c r="BD44" s="303">
        <v>24318</v>
      </c>
      <c r="BE44" s="478">
        <v>132269.79999999999</v>
      </c>
      <c r="BF44" s="478">
        <v>15486</v>
      </c>
      <c r="BG44" s="478">
        <v>324998.7</v>
      </c>
      <c r="BH44" s="478">
        <f>BG44+BF44+BE44+BD44</f>
        <v>497072.5</v>
      </c>
      <c r="BI44" s="341" t="s">
        <v>574</v>
      </c>
      <c r="BJ44" s="462">
        <v>36.65</v>
      </c>
      <c r="BK44" s="310">
        <v>22.29</v>
      </c>
      <c r="BL44" s="310">
        <v>10.57</v>
      </c>
      <c r="BM44" s="310">
        <v>15.25</v>
      </c>
      <c r="BN44" s="310">
        <v>10.48</v>
      </c>
      <c r="BO44" s="310" t="s">
        <v>298</v>
      </c>
      <c r="BP44" s="311">
        <v>3823</v>
      </c>
      <c r="BQ44" s="311">
        <v>1523</v>
      </c>
      <c r="BR44" s="311">
        <v>5768</v>
      </c>
      <c r="BS44" s="311">
        <v>63</v>
      </c>
      <c r="BT44" s="311">
        <f t="shared" si="21"/>
        <v>11177</v>
      </c>
      <c r="BU44" s="310">
        <f t="shared" si="42"/>
        <v>110.05225627729899</v>
      </c>
      <c r="BV44" s="310">
        <f t="shared" si="45"/>
        <v>151.916964301691</v>
      </c>
      <c r="BW44" s="310">
        <f t="shared" si="44"/>
        <v>167.18804688198978</v>
      </c>
      <c r="BX44" s="310">
        <f t="shared" si="46"/>
        <v>5.3592602618255043</v>
      </c>
      <c r="BY44" s="310">
        <v>4</v>
      </c>
      <c r="BZ44" s="310">
        <v>4.38</v>
      </c>
      <c r="CA44" s="310">
        <v>7.31</v>
      </c>
      <c r="CB44" s="310">
        <f t="shared" si="26"/>
        <v>2.9299999999999997</v>
      </c>
      <c r="CC44" s="310">
        <v>7.93</v>
      </c>
      <c r="CD44" s="310">
        <v>8.1999999999999993</v>
      </c>
      <c r="CE44" s="310">
        <f t="shared" si="27"/>
        <v>0.26999999999999957</v>
      </c>
    </row>
    <row r="45" spans="1:83" s="170" customFormat="1" ht="11.1" customHeight="1">
      <c r="A45" s="168"/>
      <c r="B45" s="168"/>
      <c r="C45" s="168"/>
      <c r="D45" s="168"/>
      <c r="E45" s="168"/>
      <c r="F45" s="168"/>
      <c r="G45" s="168"/>
      <c r="H45" s="168"/>
      <c r="I45" s="1663" t="s">
        <v>2514</v>
      </c>
      <c r="J45" s="483"/>
      <c r="K45" s="483"/>
      <c r="L45" s="483"/>
      <c r="M45" s="483"/>
      <c r="N45" s="483"/>
      <c r="O45" s="483"/>
      <c r="P45" s="483"/>
      <c r="Q45" s="483"/>
      <c r="R45" s="483"/>
      <c r="S45" s="483"/>
      <c r="T45" s="483"/>
      <c r="U45" s="483"/>
      <c r="V45" s="483"/>
      <c r="W45" s="483"/>
      <c r="X45" s="483"/>
      <c r="Y45" s="483"/>
      <c r="Z45" s="1663" t="s">
        <v>2514</v>
      </c>
      <c r="AA45" s="239"/>
      <c r="AB45" s="483"/>
      <c r="AC45" s="483"/>
      <c r="AD45" s="483"/>
      <c r="AE45" s="239"/>
      <c r="AF45" s="483"/>
      <c r="AG45" s="483"/>
      <c r="AH45" s="483"/>
      <c r="AI45" s="494"/>
      <c r="AJ45" s="494"/>
      <c r="AK45" s="494"/>
      <c r="AL45" s="494"/>
      <c r="AM45" s="494"/>
      <c r="AN45" s="494"/>
      <c r="AO45" s="494"/>
      <c r="AP45" s="494"/>
      <c r="AQ45" s="1663" t="s">
        <v>2514</v>
      </c>
      <c r="AR45" s="483"/>
      <c r="AS45" s="483"/>
      <c r="AT45" s="483"/>
      <c r="AU45" s="483"/>
      <c r="AV45" s="483"/>
      <c r="AW45" s="483"/>
      <c r="AX45" s="483"/>
      <c r="AY45" s="483"/>
      <c r="AZ45" s="483"/>
      <c r="BA45" s="483"/>
      <c r="BB45" s="483"/>
      <c r="BC45" s="483"/>
      <c r="BD45" s="238"/>
      <c r="BE45" s="483"/>
      <c r="BF45" s="483"/>
      <c r="BG45" s="483"/>
      <c r="BH45" s="483"/>
      <c r="BI45" s="1663" t="s">
        <v>2514</v>
      </c>
      <c r="BJ45" s="576"/>
      <c r="BK45" s="268"/>
      <c r="BL45" s="268"/>
      <c r="BM45" s="268"/>
      <c r="BN45" s="268"/>
      <c r="BO45" s="268"/>
      <c r="BP45" s="397"/>
      <c r="BQ45" s="397"/>
      <c r="BR45" s="397"/>
      <c r="BS45" s="397"/>
      <c r="BT45" s="397"/>
      <c r="BU45" s="268"/>
      <c r="BV45" s="268"/>
      <c r="BW45" s="268"/>
      <c r="BX45" s="268"/>
      <c r="BY45" s="268"/>
      <c r="BZ45" s="268"/>
      <c r="CA45" s="268"/>
      <c r="CB45" s="268"/>
      <c r="CC45" s="268"/>
      <c r="CD45" s="268"/>
      <c r="CE45" s="268"/>
    </row>
    <row r="46" spans="1:83" s="170" customFormat="1" ht="11.1" customHeight="1">
      <c r="A46" s="168"/>
      <c r="B46" s="168"/>
      <c r="C46" s="168"/>
      <c r="D46" s="168"/>
      <c r="E46" s="168"/>
      <c r="F46" s="168"/>
      <c r="G46" s="168"/>
      <c r="H46" s="168"/>
      <c r="I46" s="341" t="s">
        <v>576</v>
      </c>
      <c r="J46" s="478">
        <v>290730.8</v>
      </c>
      <c r="K46" s="478">
        <v>1803.2</v>
      </c>
      <c r="L46" s="478">
        <f t="shared" ref="L46:L51" si="47">J46+K46</f>
        <v>292534</v>
      </c>
      <c r="M46" s="478">
        <v>26179.4</v>
      </c>
      <c r="N46" s="478">
        <f t="shared" ref="N46:N51" si="48">L46-M46</f>
        <v>266354.59999999998</v>
      </c>
      <c r="O46" s="478">
        <v>32842.6</v>
      </c>
      <c r="P46" s="478">
        <v>98981.5</v>
      </c>
      <c r="Q46" s="478">
        <v>191720.6</v>
      </c>
      <c r="R46" s="478">
        <v>1415270</v>
      </c>
      <c r="S46" s="478">
        <f t="shared" ref="S46:S51" si="49">Q46+R46</f>
        <v>1606990.6</v>
      </c>
      <c r="T46" s="478">
        <f t="shared" ref="T46:T51" si="50">P46+S46</f>
        <v>1705972.1</v>
      </c>
      <c r="U46" s="478">
        <v>904.6</v>
      </c>
      <c r="V46" s="478">
        <v>365659.6</v>
      </c>
      <c r="W46" s="478">
        <f t="shared" ref="W46:W51" si="51">N46+Q46+U46</f>
        <v>458979.79999999993</v>
      </c>
      <c r="X46" s="478">
        <f t="shared" ref="X46:X51" si="52">R46+W46</f>
        <v>1874249.7999999998</v>
      </c>
      <c r="Y46" s="478">
        <v>2261463.9699999997</v>
      </c>
      <c r="Z46" s="341" t="s">
        <v>576</v>
      </c>
      <c r="AA46" s="304">
        <v>0</v>
      </c>
      <c r="AB46" s="478">
        <v>53185.8</v>
      </c>
      <c r="AC46" s="478">
        <v>1413749.5</v>
      </c>
      <c r="AD46" s="478">
        <f t="shared" si="13"/>
        <v>1466935.3</v>
      </c>
      <c r="AE46" s="304">
        <v>0</v>
      </c>
      <c r="AF46" s="478">
        <v>728.6</v>
      </c>
      <c r="AG46" s="478">
        <v>37189.599999999999</v>
      </c>
      <c r="AH46" s="478">
        <f t="shared" ref="AH46:AH51" si="53">AF46+AG46</f>
        <v>37918.199999999997</v>
      </c>
      <c r="AI46" s="481">
        <v>30135.9</v>
      </c>
      <c r="AJ46" s="481">
        <v>335712.1</v>
      </c>
      <c r="AK46" s="481">
        <v>27197.599999999999</v>
      </c>
      <c r="AL46" s="481">
        <f t="shared" ref="AL46:AL51" si="54">AJ46+AK46</f>
        <v>362909.69999999995</v>
      </c>
      <c r="AM46" s="481">
        <f t="shared" ref="AM46:AM51" si="55">AA46+AE46+AI46</f>
        <v>30135.9</v>
      </c>
      <c r="AN46" s="481">
        <f t="shared" ref="AN46:AN51" si="56">AB46+AF46+AJ46</f>
        <v>389626.5</v>
      </c>
      <c r="AO46" s="481">
        <f t="shared" ref="AO46:AO51" si="57">AC46+AG46+AK46</f>
        <v>1478136.7000000002</v>
      </c>
      <c r="AP46" s="481">
        <f>AD46+AH46+AL46</f>
        <v>1867763.2</v>
      </c>
      <c r="AQ46" s="341" t="s">
        <v>576</v>
      </c>
      <c r="AR46" s="478">
        <v>9934.6</v>
      </c>
      <c r="AS46" s="478">
        <v>105839.4</v>
      </c>
      <c r="AT46" s="478">
        <v>42144.6</v>
      </c>
      <c r="AU46" s="478">
        <v>292.60000000000002</v>
      </c>
      <c r="AV46" s="478">
        <f>1706013.4-10.59</f>
        <v>1706002.8099999998</v>
      </c>
      <c r="AW46" s="478">
        <v>17061.400000000001</v>
      </c>
      <c r="AX46" s="478">
        <f t="shared" ref="AX46:AX51" si="58">AV46+AW46</f>
        <v>1723064.2099999997</v>
      </c>
      <c r="AY46" s="478">
        <f t="shared" ref="AY46" si="59">0.04*AX46</f>
        <v>68922.568399999989</v>
      </c>
      <c r="AZ46" s="478">
        <f t="shared" ref="AZ46:AZ51" si="60">BA46-AY46</f>
        <v>3296.3079000000143</v>
      </c>
      <c r="BA46" s="478">
        <f>72221-2.1237</f>
        <v>72218.876300000004</v>
      </c>
      <c r="BB46" s="478">
        <v>4647252.9000000004</v>
      </c>
      <c r="BC46" s="478">
        <f t="shared" si="43"/>
        <v>364752.8763</v>
      </c>
      <c r="BD46" s="303">
        <v>11532.3</v>
      </c>
      <c r="BE46" s="478">
        <v>135413.4</v>
      </c>
      <c r="BF46" s="478">
        <v>17141.400000000001</v>
      </c>
      <c r="BG46" s="478">
        <v>331234.2</v>
      </c>
      <c r="BH46" s="478">
        <f t="shared" si="20"/>
        <v>495321.3</v>
      </c>
      <c r="BI46" s="341" t="s">
        <v>576</v>
      </c>
      <c r="BJ46" s="462">
        <v>38.299999999999997</v>
      </c>
      <c r="BK46" s="310">
        <v>18.100000000000001</v>
      </c>
      <c r="BL46" s="310">
        <v>9.82</v>
      </c>
      <c r="BM46" s="310">
        <v>14.81</v>
      </c>
      <c r="BN46" s="310">
        <v>9.74</v>
      </c>
      <c r="BO46" s="310" t="s">
        <v>298</v>
      </c>
      <c r="BP46" s="311">
        <v>3823</v>
      </c>
      <c r="BQ46" s="311">
        <v>1541</v>
      </c>
      <c r="BR46" s="311">
        <v>5789</v>
      </c>
      <c r="BS46" s="311">
        <v>63</v>
      </c>
      <c r="BT46" s="311">
        <f t="shared" si="21"/>
        <v>11216</v>
      </c>
      <c r="BU46" s="310">
        <f t="shared" ref="BU46:BU47" si="61">AP46/AV46*100</f>
        <v>109.48183608208713</v>
      </c>
      <c r="BV46" s="310">
        <f t="shared" ref="BV46:BV47" si="62">AV46/BT46</f>
        <v>152.10438748216831</v>
      </c>
      <c r="BW46" s="310">
        <f t="shared" ref="BW46:BW47" si="63">AP46/BT46</f>
        <v>166.52667617689016</v>
      </c>
      <c r="BX46" s="310">
        <f t="shared" ref="BX46:BX47" si="64">(M46+BA46)/AV46*100</f>
        <v>5.7677675396091521</v>
      </c>
      <c r="BY46" s="310">
        <v>4</v>
      </c>
      <c r="BZ46" s="310">
        <v>4.46</v>
      </c>
      <c r="CA46" s="310">
        <v>7.75</v>
      </c>
      <c r="CB46" s="310">
        <f t="shared" si="26"/>
        <v>3.29</v>
      </c>
      <c r="CC46" s="310">
        <v>8.02</v>
      </c>
      <c r="CD46" s="310">
        <v>8.18</v>
      </c>
      <c r="CE46" s="310">
        <f t="shared" si="27"/>
        <v>0.16000000000000014</v>
      </c>
    </row>
    <row r="47" spans="1:83" s="170" customFormat="1" ht="11.1" customHeight="1">
      <c r="A47" s="168"/>
      <c r="B47" s="168"/>
      <c r="C47" s="168"/>
      <c r="D47" s="168"/>
      <c r="E47" s="168"/>
      <c r="F47" s="168"/>
      <c r="G47" s="168"/>
      <c r="H47" s="168"/>
      <c r="I47" s="265" t="s">
        <v>577</v>
      </c>
      <c r="J47" s="483">
        <v>280673.90000000002</v>
      </c>
      <c r="K47" s="483">
        <v>1813.1</v>
      </c>
      <c r="L47" s="483">
        <f t="shared" si="47"/>
        <v>282487</v>
      </c>
      <c r="M47" s="483">
        <v>24130.7</v>
      </c>
      <c r="N47" s="483">
        <f t="shared" si="48"/>
        <v>258356.3</v>
      </c>
      <c r="O47" s="483">
        <v>32520.7</v>
      </c>
      <c r="P47" s="483">
        <v>102396</v>
      </c>
      <c r="Q47" s="483">
        <v>185799.4</v>
      </c>
      <c r="R47" s="483">
        <v>1431876.3</v>
      </c>
      <c r="S47" s="483">
        <f t="shared" si="49"/>
        <v>1617675.7</v>
      </c>
      <c r="T47" s="483">
        <f t="shared" si="50"/>
        <v>1720071.7</v>
      </c>
      <c r="U47" s="483">
        <v>833.1</v>
      </c>
      <c r="V47" s="483">
        <v>351208.6</v>
      </c>
      <c r="W47" s="483">
        <f t="shared" si="51"/>
        <v>444988.79999999993</v>
      </c>
      <c r="X47" s="483">
        <f t="shared" si="52"/>
        <v>1876865.1</v>
      </c>
      <c r="Y47" s="483">
        <v>2264408.7388038971</v>
      </c>
      <c r="Z47" s="265" t="s">
        <v>577</v>
      </c>
      <c r="AA47" s="239">
        <v>0</v>
      </c>
      <c r="AB47" s="483">
        <v>54113.9</v>
      </c>
      <c r="AC47" s="483">
        <v>1425067.5</v>
      </c>
      <c r="AD47" s="483">
        <f t="shared" si="13"/>
        <v>1479181.4</v>
      </c>
      <c r="AE47" s="239">
        <v>0</v>
      </c>
      <c r="AF47" s="483">
        <v>654</v>
      </c>
      <c r="AG47" s="483">
        <v>34733.5</v>
      </c>
      <c r="AH47" s="483">
        <f t="shared" si="53"/>
        <v>35387.5</v>
      </c>
      <c r="AI47" s="494">
        <v>29797.5</v>
      </c>
      <c r="AJ47" s="494">
        <v>343070.6</v>
      </c>
      <c r="AK47" s="494">
        <v>27913.599999999999</v>
      </c>
      <c r="AL47" s="494">
        <f t="shared" si="54"/>
        <v>370984.19999999995</v>
      </c>
      <c r="AM47" s="494">
        <f t="shared" si="55"/>
        <v>29797.5</v>
      </c>
      <c r="AN47" s="494">
        <f t="shared" si="56"/>
        <v>397838.5</v>
      </c>
      <c r="AO47" s="494">
        <f t="shared" si="57"/>
        <v>1487714.6</v>
      </c>
      <c r="AP47" s="494">
        <f t="shared" ref="AP47:AP51" si="65">AD47+AH47+AL47</f>
        <v>1885553.0999999999</v>
      </c>
      <c r="AQ47" s="265" t="s">
        <v>577</v>
      </c>
      <c r="AR47" s="483">
        <v>10281.299999999999</v>
      </c>
      <c r="AS47" s="483">
        <v>101843.2</v>
      </c>
      <c r="AT47" s="483">
        <v>39769.199999999997</v>
      </c>
      <c r="AU47" s="483">
        <v>240.2</v>
      </c>
      <c r="AV47" s="483">
        <f>1720107.6-10.23</f>
        <v>1720097.37</v>
      </c>
      <c r="AW47" s="483">
        <v>17471.2</v>
      </c>
      <c r="AX47" s="483">
        <f t="shared" si="58"/>
        <v>1737568.57</v>
      </c>
      <c r="AY47" s="483">
        <f>0.04*AX47</f>
        <v>69502.742800000007</v>
      </c>
      <c r="AZ47" s="483">
        <f t="shared" si="60"/>
        <v>-1617.3455000000104</v>
      </c>
      <c r="BA47" s="483">
        <f>67888.5-3.1027</f>
        <v>67885.397299999997</v>
      </c>
      <c r="BB47" s="483">
        <v>4701903.0999999996</v>
      </c>
      <c r="BC47" s="483">
        <f t="shared" si="43"/>
        <v>350372.39730000001</v>
      </c>
      <c r="BD47" s="238">
        <v>6516.1</v>
      </c>
      <c r="BE47" s="483">
        <v>139144.1</v>
      </c>
      <c r="BF47" s="483">
        <v>17537.5</v>
      </c>
      <c r="BG47" s="483">
        <v>338549.7</v>
      </c>
      <c r="BH47" s="483">
        <f t="shared" si="20"/>
        <v>501747.4</v>
      </c>
      <c r="BI47" s="265" t="s">
        <v>577</v>
      </c>
      <c r="BJ47" s="576">
        <v>-1.41</v>
      </c>
      <c r="BK47" s="268">
        <v>0.59</v>
      </c>
      <c r="BL47" s="268">
        <v>7.0000000000000007E-2</v>
      </c>
      <c r="BM47" s="268">
        <v>-0.22</v>
      </c>
      <c r="BN47" s="268">
        <v>-0.55000000000000004</v>
      </c>
      <c r="BO47" s="268" t="s">
        <v>298</v>
      </c>
      <c r="BP47" s="397">
        <v>3824</v>
      </c>
      <c r="BQ47" s="397">
        <v>1541</v>
      </c>
      <c r="BR47" s="397">
        <v>5790</v>
      </c>
      <c r="BS47" s="397">
        <v>63</v>
      </c>
      <c r="BT47" s="397">
        <f t="shared" si="21"/>
        <v>11218</v>
      </c>
      <c r="BU47" s="268">
        <f t="shared" si="61"/>
        <v>109.61897465141755</v>
      </c>
      <c r="BV47" s="268">
        <f t="shared" si="62"/>
        <v>153.33369317168837</v>
      </c>
      <c r="BW47" s="268">
        <f t="shared" si="63"/>
        <v>168.08282224995543</v>
      </c>
      <c r="BX47" s="268">
        <f t="shared" si="64"/>
        <v>5.3494702628375039</v>
      </c>
      <c r="BY47" s="268">
        <v>4</v>
      </c>
      <c r="BZ47" s="268">
        <v>4.5199999999999996</v>
      </c>
      <c r="CA47" s="268">
        <v>7.85</v>
      </c>
      <c r="CB47" s="268">
        <f t="shared" si="26"/>
        <v>3.33</v>
      </c>
      <c r="CC47" s="268">
        <v>8.08</v>
      </c>
      <c r="CD47" s="268">
        <v>11.47</v>
      </c>
      <c r="CE47" s="268">
        <f t="shared" si="27"/>
        <v>3.3900000000000006</v>
      </c>
    </row>
    <row r="48" spans="1:83" s="170" customFormat="1" ht="11.1" customHeight="1">
      <c r="A48" s="168"/>
      <c r="B48" s="168"/>
      <c r="C48" s="168"/>
      <c r="D48" s="168"/>
      <c r="E48" s="168"/>
      <c r="F48" s="168"/>
      <c r="G48" s="168"/>
      <c r="H48" s="168"/>
      <c r="I48" s="341" t="s">
        <v>571</v>
      </c>
      <c r="J48" s="478">
        <v>275491.90000000002</v>
      </c>
      <c r="K48" s="478">
        <v>1820.9</v>
      </c>
      <c r="L48" s="478">
        <f t="shared" si="47"/>
        <v>277312.80000000005</v>
      </c>
      <c r="M48" s="478">
        <v>23807.4</v>
      </c>
      <c r="N48" s="478">
        <f t="shared" si="48"/>
        <v>253505.40000000005</v>
      </c>
      <c r="O48" s="478">
        <v>32330.7</v>
      </c>
      <c r="P48" s="478">
        <v>104326.39999999999</v>
      </c>
      <c r="Q48" s="478">
        <v>185910.7</v>
      </c>
      <c r="R48" s="478">
        <v>1437228.5</v>
      </c>
      <c r="S48" s="478">
        <f t="shared" si="49"/>
        <v>1623139.2</v>
      </c>
      <c r="T48" s="478">
        <f t="shared" si="50"/>
        <v>1727465.5999999999</v>
      </c>
      <c r="U48" s="478">
        <v>601.20000000000005</v>
      </c>
      <c r="V48" s="478">
        <v>344233.89999999997</v>
      </c>
      <c r="W48" s="478">
        <f t="shared" si="51"/>
        <v>440017.3000000001</v>
      </c>
      <c r="X48" s="478">
        <f t="shared" si="52"/>
        <v>1877245.8</v>
      </c>
      <c r="Y48" s="478">
        <v>2264332.7573247859</v>
      </c>
      <c r="Z48" s="341" t="s">
        <v>571</v>
      </c>
      <c r="AA48" s="304">
        <v>0</v>
      </c>
      <c r="AB48" s="478">
        <v>55014.5</v>
      </c>
      <c r="AC48" s="478">
        <v>1443572</v>
      </c>
      <c r="AD48" s="478">
        <f t="shared" si="13"/>
        <v>1498586.5</v>
      </c>
      <c r="AE48" s="304">
        <v>0</v>
      </c>
      <c r="AF48" s="478">
        <v>621.6</v>
      </c>
      <c r="AG48" s="478">
        <v>33309.800000000003</v>
      </c>
      <c r="AH48" s="478">
        <f t="shared" si="53"/>
        <v>33931.4</v>
      </c>
      <c r="AI48" s="481">
        <v>29760.2</v>
      </c>
      <c r="AJ48" s="481">
        <v>340684.7</v>
      </c>
      <c r="AK48" s="481">
        <v>28423.5</v>
      </c>
      <c r="AL48" s="481">
        <f t="shared" si="54"/>
        <v>369108.2</v>
      </c>
      <c r="AM48" s="481">
        <f t="shared" si="55"/>
        <v>29760.2</v>
      </c>
      <c r="AN48" s="481">
        <f t="shared" si="56"/>
        <v>396320.8</v>
      </c>
      <c r="AO48" s="481">
        <f t="shared" si="57"/>
        <v>1505305.3</v>
      </c>
      <c r="AP48" s="481">
        <f t="shared" si="65"/>
        <v>1901626.0999999999</v>
      </c>
      <c r="AQ48" s="341" t="s">
        <v>571</v>
      </c>
      <c r="AR48" s="478">
        <v>9867.6</v>
      </c>
      <c r="AS48" s="478">
        <v>108285.8</v>
      </c>
      <c r="AT48" s="478">
        <v>38084.5</v>
      </c>
      <c r="AU48" s="478">
        <v>135.4</v>
      </c>
      <c r="AV48" s="478">
        <f>1727507.3-10.32</f>
        <v>1727496.98</v>
      </c>
      <c r="AW48" s="478">
        <v>17115.099999999999</v>
      </c>
      <c r="AX48" s="478">
        <f t="shared" si="58"/>
        <v>1744612.08</v>
      </c>
      <c r="AY48" s="478">
        <f>0.04*AX48</f>
        <v>69784.483200000002</v>
      </c>
      <c r="AZ48" s="478">
        <f t="shared" si="60"/>
        <v>-3468.0583000000042</v>
      </c>
      <c r="BA48" s="478">
        <f>66319.9-3.4751</f>
        <v>66316.424899999998</v>
      </c>
      <c r="BB48" s="478">
        <v>4750466.0999999996</v>
      </c>
      <c r="BC48" s="478">
        <f t="shared" si="43"/>
        <v>343629.22490000003</v>
      </c>
      <c r="BD48" s="303">
        <v>5992.3</v>
      </c>
      <c r="BE48" s="478">
        <v>131691.70000000001</v>
      </c>
      <c r="BF48" s="478">
        <v>17478.7</v>
      </c>
      <c r="BG48" s="478">
        <v>336174.6</v>
      </c>
      <c r="BH48" s="478">
        <f t="shared" si="20"/>
        <v>491337.3</v>
      </c>
      <c r="BI48" s="341" t="s">
        <v>571</v>
      </c>
      <c r="BJ48" s="462">
        <v>-4.24</v>
      </c>
      <c r="BK48" s="310">
        <v>3.17</v>
      </c>
      <c r="BL48" s="310">
        <v>1.26</v>
      </c>
      <c r="BM48" s="310">
        <v>0.2</v>
      </c>
      <c r="BN48" s="310">
        <v>-0.53</v>
      </c>
      <c r="BO48" s="310" t="s">
        <v>298</v>
      </c>
      <c r="BP48" s="311">
        <v>3824</v>
      </c>
      <c r="BQ48" s="311">
        <v>1541</v>
      </c>
      <c r="BR48" s="311">
        <v>5791</v>
      </c>
      <c r="BS48" s="311">
        <v>63</v>
      </c>
      <c r="BT48" s="311">
        <f t="shared" si="21"/>
        <v>11219</v>
      </c>
      <c r="BU48" s="310">
        <f>AP48/AV48*100</f>
        <v>110.07985090659898</v>
      </c>
      <c r="BV48" s="310">
        <f>AV48/BT48</f>
        <v>153.97958641590159</v>
      </c>
      <c r="BW48" s="310">
        <f t="shared" ref="BW48:BW51" si="66">AP48/BT48</f>
        <v>169.50049915322219</v>
      </c>
      <c r="BX48" s="310">
        <f t="shared" ref="BX48:BX51" si="67">(M48+BA48)/AV48*100</f>
        <v>5.2170177976230105</v>
      </c>
      <c r="BY48" s="310">
        <v>4</v>
      </c>
      <c r="BZ48" s="310">
        <v>4.5199999999999996</v>
      </c>
      <c r="CA48" s="310">
        <v>7.83</v>
      </c>
      <c r="CB48" s="310">
        <f t="shared" si="26"/>
        <v>3.3100000000000005</v>
      </c>
      <c r="CC48" s="310">
        <v>8.15</v>
      </c>
      <c r="CD48" s="310">
        <v>11.58</v>
      </c>
      <c r="CE48" s="310">
        <f t="shared" si="27"/>
        <v>3.4299999999999997</v>
      </c>
    </row>
    <row r="49" spans="1:83" s="170" customFormat="1" ht="11.1" customHeight="1">
      <c r="A49" s="168"/>
      <c r="B49" s="168"/>
      <c r="C49" s="168"/>
      <c r="D49" s="168"/>
      <c r="E49" s="168"/>
      <c r="F49" s="168"/>
      <c r="G49" s="168"/>
      <c r="H49" s="168"/>
      <c r="I49" s="265" t="s">
        <v>578</v>
      </c>
      <c r="J49" s="483">
        <v>271207.09999999998</v>
      </c>
      <c r="K49" s="483">
        <v>1830.1</v>
      </c>
      <c r="L49" s="483">
        <f t="shared" si="47"/>
        <v>273037.19999999995</v>
      </c>
      <c r="M49" s="483">
        <v>27093.3</v>
      </c>
      <c r="N49" s="483">
        <f t="shared" si="48"/>
        <v>245943.89999999997</v>
      </c>
      <c r="O49" s="483">
        <v>32399.3</v>
      </c>
      <c r="P49" s="483">
        <v>105631.6</v>
      </c>
      <c r="Q49" s="483">
        <v>192478</v>
      </c>
      <c r="R49" s="483">
        <v>1443595.2</v>
      </c>
      <c r="S49" s="483">
        <f t="shared" si="49"/>
        <v>1636073.2</v>
      </c>
      <c r="T49" s="483">
        <f t="shared" si="50"/>
        <v>1741704.8</v>
      </c>
      <c r="U49" s="483">
        <v>519.4</v>
      </c>
      <c r="V49" s="483">
        <v>339958.4</v>
      </c>
      <c r="W49" s="483">
        <f t="shared" si="51"/>
        <v>438941.3</v>
      </c>
      <c r="X49" s="483">
        <f t="shared" si="52"/>
        <v>1882536.5</v>
      </c>
      <c r="Y49" s="483">
        <v>2268941.0356733794</v>
      </c>
      <c r="Z49" s="265" t="s">
        <v>578</v>
      </c>
      <c r="AA49" s="239">
        <v>0</v>
      </c>
      <c r="AB49" s="483">
        <v>55295</v>
      </c>
      <c r="AC49" s="483">
        <v>1464945.1</v>
      </c>
      <c r="AD49" s="483">
        <f t="shared" si="13"/>
        <v>1520240.1</v>
      </c>
      <c r="AE49" s="239">
        <v>0</v>
      </c>
      <c r="AF49" s="483">
        <v>598.79999999999995</v>
      </c>
      <c r="AG49" s="483">
        <v>26218.9</v>
      </c>
      <c r="AH49" s="483">
        <f t="shared" si="53"/>
        <v>26817.7</v>
      </c>
      <c r="AI49" s="494">
        <v>29449.200000000001</v>
      </c>
      <c r="AJ49" s="494">
        <v>341367.3</v>
      </c>
      <c r="AK49" s="494">
        <v>28952.6</v>
      </c>
      <c r="AL49" s="494">
        <f t="shared" si="54"/>
        <v>370319.89999999997</v>
      </c>
      <c r="AM49" s="494">
        <f t="shared" si="55"/>
        <v>29449.200000000001</v>
      </c>
      <c r="AN49" s="494">
        <f t="shared" si="56"/>
        <v>397261.1</v>
      </c>
      <c r="AO49" s="494">
        <f t="shared" si="57"/>
        <v>1520116.6</v>
      </c>
      <c r="AP49" s="494">
        <f t="shared" si="65"/>
        <v>1917377.7</v>
      </c>
      <c r="AQ49" s="265" t="s">
        <v>578</v>
      </c>
      <c r="AR49" s="483">
        <v>10425.5</v>
      </c>
      <c r="AS49" s="483">
        <v>112420.3</v>
      </c>
      <c r="AT49" s="483">
        <v>36511.199999999997</v>
      </c>
      <c r="AU49" s="483">
        <v>209.2</v>
      </c>
      <c r="AV49" s="483">
        <f>1741742.7-10.32</f>
        <v>1741732.38</v>
      </c>
      <c r="AW49" s="483">
        <v>17248.099999999999</v>
      </c>
      <c r="AX49" s="483">
        <f t="shared" si="58"/>
        <v>1758980.48</v>
      </c>
      <c r="AY49" s="483">
        <f>0.04*AX49</f>
        <v>70359.219200000007</v>
      </c>
      <c r="AZ49" s="483">
        <f t="shared" si="60"/>
        <v>-3959.096000000005</v>
      </c>
      <c r="BA49" s="483">
        <f>66401.8-1.6768</f>
        <v>66400.123200000002</v>
      </c>
      <c r="BB49" s="483">
        <v>4810087.5999999996</v>
      </c>
      <c r="BC49" s="483">
        <f t="shared" si="43"/>
        <v>339437.32319999998</v>
      </c>
      <c r="BD49" s="238">
        <v>8528.7000000000007</v>
      </c>
      <c r="BE49" s="483">
        <v>118004.1</v>
      </c>
      <c r="BF49" s="483">
        <v>17537.900000000001</v>
      </c>
      <c r="BG49" s="483">
        <v>336860.2</v>
      </c>
      <c r="BH49" s="483">
        <f t="shared" si="20"/>
        <v>480930.90000000008</v>
      </c>
      <c r="BI49" s="265" t="s">
        <v>578</v>
      </c>
      <c r="BJ49" s="576">
        <v>-4.91</v>
      </c>
      <c r="BK49" s="268">
        <v>3.61</v>
      </c>
      <c r="BL49" s="268">
        <v>2.35</v>
      </c>
      <c r="BM49" s="268">
        <v>0.92</v>
      </c>
      <c r="BN49" s="268">
        <v>-0.25</v>
      </c>
      <c r="BO49" s="268" t="s">
        <v>298</v>
      </c>
      <c r="BP49" s="397">
        <v>3824</v>
      </c>
      <c r="BQ49" s="397">
        <v>1541</v>
      </c>
      <c r="BR49" s="397">
        <v>5794</v>
      </c>
      <c r="BS49" s="397">
        <v>63</v>
      </c>
      <c r="BT49" s="397">
        <f t="shared" si="21"/>
        <v>11222</v>
      </c>
      <c r="BU49" s="268">
        <f>AP49/AV49*100</f>
        <v>110.08451826565917</v>
      </c>
      <c r="BV49" s="268">
        <f>AV49/BT49</f>
        <v>155.20694885047229</v>
      </c>
      <c r="BW49" s="268">
        <f t="shared" si="66"/>
        <v>170.85882195687043</v>
      </c>
      <c r="BX49" s="268">
        <f t="shared" si="67"/>
        <v>5.3678409079126164</v>
      </c>
      <c r="BY49" s="268">
        <v>4</v>
      </c>
      <c r="BZ49" s="268">
        <v>4.55</v>
      </c>
      <c r="CA49" s="268">
        <v>7.89</v>
      </c>
      <c r="CB49" s="268">
        <f t="shared" si="26"/>
        <v>3.34</v>
      </c>
      <c r="CC49" s="268">
        <v>8.2100000000000009</v>
      </c>
      <c r="CD49" s="268">
        <v>11.6</v>
      </c>
      <c r="CE49" s="268">
        <f t="shared" si="27"/>
        <v>3.3899999999999988</v>
      </c>
    </row>
    <row r="50" spans="1:83" s="170" customFormat="1" ht="11.1" customHeight="1">
      <c r="A50" s="168"/>
      <c r="B50" s="168"/>
      <c r="C50" s="168"/>
      <c r="D50" s="168"/>
      <c r="E50" s="168"/>
      <c r="F50" s="168"/>
      <c r="G50" s="168"/>
      <c r="H50" s="168"/>
      <c r="I50" s="341" t="s">
        <v>579</v>
      </c>
      <c r="J50" s="478">
        <v>272673.3</v>
      </c>
      <c r="K50" s="478">
        <v>1837.9</v>
      </c>
      <c r="L50" s="478">
        <f t="shared" si="47"/>
        <v>274511.2</v>
      </c>
      <c r="M50" s="478">
        <v>26069.5</v>
      </c>
      <c r="N50" s="478">
        <f t="shared" si="48"/>
        <v>248441.7</v>
      </c>
      <c r="O50" s="478">
        <v>31132.7</v>
      </c>
      <c r="P50" s="478">
        <v>103304.3</v>
      </c>
      <c r="Q50" s="478">
        <v>189802.5</v>
      </c>
      <c r="R50" s="478">
        <v>1450684</v>
      </c>
      <c r="S50" s="478">
        <f t="shared" si="49"/>
        <v>1640486.5</v>
      </c>
      <c r="T50" s="478">
        <f t="shared" si="50"/>
        <v>1743790.8</v>
      </c>
      <c r="U50" s="478">
        <v>494.9</v>
      </c>
      <c r="V50" s="478">
        <v>340370.2</v>
      </c>
      <c r="W50" s="478">
        <f t="shared" si="51"/>
        <v>438739.10000000003</v>
      </c>
      <c r="X50" s="478">
        <f t="shared" si="52"/>
        <v>1889423.1</v>
      </c>
      <c r="Y50" s="478">
        <v>2275869.5707889721</v>
      </c>
      <c r="Z50" s="341" t="s">
        <v>579</v>
      </c>
      <c r="AA50" s="304">
        <v>0</v>
      </c>
      <c r="AB50" s="478">
        <v>56092.2</v>
      </c>
      <c r="AC50" s="478">
        <v>1480303.8</v>
      </c>
      <c r="AD50" s="478">
        <f t="shared" si="13"/>
        <v>1536396</v>
      </c>
      <c r="AE50" s="304">
        <v>0</v>
      </c>
      <c r="AF50" s="478">
        <v>584.79999999999995</v>
      </c>
      <c r="AG50" s="478">
        <v>27640.400000000001</v>
      </c>
      <c r="AH50" s="478">
        <f t="shared" si="53"/>
        <v>28225.200000000001</v>
      </c>
      <c r="AI50" s="481">
        <v>29263.1</v>
      </c>
      <c r="AJ50" s="481">
        <v>330892.09999999998</v>
      </c>
      <c r="AK50" s="481">
        <v>28793.9</v>
      </c>
      <c r="AL50" s="481">
        <f t="shared" si="54"/>
        <v>359686</v>
      </c>
      <c r="AM50" s="481">
        <f t="shared" si="55"/>
        <v>29263.1</v>
      </c>
      <c r="AN50" s="481">
        <f t="shared" si="56"/>
        <v>387569.1</v>
      </c>
      <c r="AO50" s="481">
        <f t="shared" si="57"/>
        <v>1536738.0999999999</v>
      </c>
      <c r="AP50" s="481">
        <f t="shared" si="65"/>
        <v>1924307.2</v>
      </c>
      <c r="AQ50" s="341" t="s">
        <v>579</v>
      </c>
      <c r="AR50" s="478">
        <v>11321.8</v>
      </c>
      <c r="AS50" s="478">
        <v>109362.1</v>
      </c>
      <c r="AT50" s="478">
        <v>37855.199999999997</v>
      </c>
      <c r="AU50" s="478">
        <v>186.9</v>
      </c>
      <c r="AV50" s="478">
        <f>1743825-10.2</f>
        <v>1743814.8</v>
      </c>
      <c r="AW50" s="478">
        <v>19593.2</v>
      </c>
      <c r="AX50" s="478">
        <f t="shared" si="58"/>
        <v>1763408</v>
      </c>
      <c r="AY50" s="478">
        <f>0.04*AX50</f>
        <v>70536.320000000007</v>
      </c>
      <c r="AZ50" s="478">
        <f t="shared" si="60"/>
        <v>-5173.8074000000051</v>
      </c>
      <c r="BA50" s="478">
        <f>65364.1-1.5874</f>
        <v>65362.512600000002</v>
      </c>
      <c r="BB50" s="478">
        <v>4865130.9000000004</v>
      </c>
      <c r="BC50" s="478">
        <f t="shared" si="43"/>
        <v>339873.71260000003</v>
      </c>
      <c r="BD50" s="303">
        <v>19376</v>
      </c>
      <c r="BE50" s="478">
        <v>112034.5</v>
      </c>
      <c r="BF50" s="478">
        <v>17414.099999999999</v>
      </c>
      <c r="BG50" s="478">
        <v>326435.7</v>
      </c>
      <c r="BH50" s="478">
        <f t="shared" si="20"/>
        <v>475260.3</v>
      </c>
      <c r="BI50" s="341" t="s">
        <v>579</v>
      </c>
      <c r="BJ50" s="462">
        <v>-6.03</v>
      </c>
      <c r="BK50" s="310">
        <v>5.53</v>
      </c>
      <c r="BL50" s="310">
        <v>3.46</v>
      </c>
      <c r="BM50" s="310">
        <v>1.6</v>
      </c>
      <c r="BN50" s="310">
        <v>0.12</v>
      </c>
      <c r="BO50" s="310" t="s">
        <v>298</v>
      </c>
      <c r="BP50" s="311">
        <v>3824</v>
      </c>
      <c r="BQ50" s="311">
        <v>1541</v>
      </c>
      <c r="BR50" s="311">
        <v>5796</v>
      </c>
      <c r="BS50" s="311">
        <v>63</v>
      </c>
      <c r="BT50" s="311">
        <f t="shared" si="21"/>
        <v>11224</v>
      </c>
      <c r="BU50" s="310">
        <f>AP50/AV50*100</f>
        <v>110.3504340025099</v>
      </c>
      <c r="BV50" s="310">
        <f>AV50/BT50</f>
        <v>155.36482537419815</v>
      </c>
      <c r="BW50" s="310">
        <f t="shared" si="66"/>
        <v>171.44575908766927</v>
      </c>
      <c r="BX50" s="310">
        <f t="shared" si="67"/>
        <v>5.2432180642118649</v>
      </c>
      <c r="BY50" s="310">
        <v>4</v>
      </c>
      <c r="BZ50" s="310" t="s">
        <v>298</v>
      </c>
      <c r="CA50" s="310" t="s">
        <v>298</v>
      </c>
      <c r="CB50" s="310" t="s">
        <v>298</v>
      </c>
      <c r="CC50" s="310" t="s">
        <v>298</v>
      </c>
      <c r="CD50" s="310" t="s">
        <v>298</v>
      </c>
      <c r="CE50" s="310" t="s">
        <v>298</v>
      </c>
    </row>
    <row r="51" spans="1:83" s="170" customFormat="1" ht="11.1" customHeight="1" thickBot="1">
      <c r="A51" s="168"/>
      <c r="B51" s="168"/>
      <c r="C51" s="168"/>
      <c r="D51" s="168"/>
      <c r="E51" s="168"/>
      <c r="F51" s="168"/>
      <c r="G51" s="168"/>
      <c r="H51" s="168"/>
      <c r="I51" s="522" t="s">
        <v>572</v>
      </c>
      <c r="J51" s="1424">
        <v>277805.09999999998</v>
      </c>
      <c r="K51" s="1424">
        <v>1845.2</v>
      </c>
      <c r="L51" s="1424">
        <f t="shared" si="47"/>
        <v>279650.3</v>
      </c>
      <c r="M51" s="1424">
        <v>24790.1</v>
      </c>
      <c r="N51" s="1424">
        <f t="shared" si="48"/>
        <v>254860.19999999998</v>
      </c>
      <c r="O51" s="1424">
        <v>33188.699999999997</v>
      </c>
      <c r="P51" s="1424">
        <v>106330.8</v>
      </c>
      <c r="Q51" s="1424">
        <v>196325.1</v>
      </c>
      <c r="R51" s="1424">
        <v>1457419.6</v>
      </c>
      <c r="S51" s="1424">
        <f t="shared" si="49"/>
        <v>1653744.7000000002</v>
      </c>
      <c r="T51" s="1424">
        <f t="shared" si="50"/>
        <v>1760075.5000000002</v>
      </c>
      <c r="U51" s="1424">
        <v>542.9</v>
      </c>
      <c r="V51" s="1424">
        <v>372315.6</v>
      </c>
      <c r="W51" s="1424">
        <f t="shared" si="51"/>
        <v>451728.2</v>
      </c>
      <c r="X51" s="1424">
        <f t="shared" si="52"/>
        <v>1909147.8</v>
      </c>
      <c r="Y51" s="1424">
        <v>2294308.5875018351</v>
      </c>
      <c r="Z51" s="522" t="s">
        <v>572</v>
      </c>
      <c r="AA51" s="660">
        <v>0</v>
      </c>
      <c r="AB51" s="1424">
        <v>58498.400000000001</v>
      </c>
      <c r="AC51" s="1424">
        <v>1503198.2</v>
      </c>
      <c r="AD51" s="1424">
        <f t="shared" si="13"/>
        <v>1561696.5999999999</v>
      </c>
      <c r="AE51" s="660">
        <v>0</v>
      </c>
      <c r="AF51" s="1424">
        <v>566.79999999999995</v>
      </c>
      <c r="AG51" s="1424">
        <v>30292.3</v>
      </c>
      <c r="AH51" s="1424">
        <f t="shared" si="53"/>
        <v>30859.1</v>
      </c>
      <c r="AI51" s="1748">
        <v>28238.6</v>
      </c>
      <c r="AJ51" s="1748">
        <v>327304.8</v>
      </c>
      <c r="AK51" s="1748">
        <v>28789.4</v>
      </c>
      <c r="AL51" s="1748">
        <f t="shared" si="54"/>
        <v>356094.2</v>
      </c>
      <c r="AM51" s="1748">
        <f t="shared" si="55"/>
        <v>28238.6</v>
      </c>
      <c r="AN51" s="1748">
        <f t="shared" si="56"/>
        <v>386370</v>
      </c>
      <c r="AO51" s="1748">
        <f t="shared" si="57"/>
        <v>1562279.9</v>
      </c>
      <c r="AP51" s="1748">
        <f t="shared" si="65"/>
        <v>1948649.9</v>
      </c>
      <c r="AQ51" s="522" t="s">
        <v>572</v>
      </c>
      <c r="AR51" s="1424">
        <v>12904.3</v>
      </c>
      <c r="AS51" s="1424">
        <v>129649.60000000001</v>
      </c>
      <c r="AT51" s="1424">
        <v>36771.800000000003</v>
      </c>
      <c r="AU51" s="1424">
        <v>167.2</v>
      </c>
      <c r="AV51" s="1424">
        <f>1760109.9-10.18</f>
        <v>1760099.72</v>
      </c>
      <c r="AW51" s="1424">
        <v>18604.3</v>
      </c>
      <c r="AX51" s="1424">
        <f t="shared" si="58"/>
        <v>1778704.02</v>
      </c>
      <c r="AY51" s="1424">
        <f>0.04*AX51</f>
        <v>71148.160799999998</v>
      </c>
      <c r="AZ51" s="1424">
        <f t="shared" si="60"/>
        <v>20973.362800000003</v>
      </c>
      <c r="BA51" s="1424">
        <f>92122.4-0.8764</f>
        <v>92121.5236</v>
      </c>
      <c r="BB51" s="1424">
        <v>4635167.9000000004</v>
      </c>
      <c r="BC51" s="1424">
        <f t="shared" si="43"/>
        <v>371771.8236</v>
      </c>
      <c r="BD51" s="1749">
        <v>20149.8</v>
      </c>
      <c r="BE51" s="1424">
        <v>105347.5</v>
      </c>
      <c r="BF51" s="1424">
        <v>18706.7</v>
      </c>
      <c r="BG51" s="1424">
        <v>322971.5</v>
      </c>
      <c r="BH51" s="1424">
        <f t="shared" si="20"/>
        <v>467175.5</v>
      </c>
      <c r="BI51" s="522" t="s">
        <v>572</v>
      </c>
      <c r="BJ51" s="1732">
        <v>-9.2100000000000009</v>
      </c>
      <c r="BK51" s="749">
        <v>8.26</v>
      </c>
      <c r="BL51" s="749">
        <v>5.1100000000000003</v>
      </c>
      <c r="BM51" s="749">
        <v>2.31</v>
      </c>
      <c r="BN51" s="749">
        <v>1.1599999999999999</v>
      </c>
      <c r="BO51" s="749" t="s">
        <v>298</v>
      </c>
      <c r="BP51" s="1716">
        <v>3834</v>
      </c>
      <c r="BQ51" s="1716">
        <v>1541</v>
      </c>
      <c r="BR51" s="1716">
        <v>5845</v>
      </c>
      <c r="BS51" s="1716">
        <v>63</v>
      </c>
      <c r="BT51" s="1716">
        <f t="shared" si="21"/>
        <v>11283</v>
      </c>
      <c r="BU51" s="749">
        <f>AP51/AV51*100</f>
        <v>110.71247145019716</v>
      </c>
      <c r="BV51" s="749">
        <f>AV51/BT51</f>
        <v>155.99572099618896</v>
      </c>
      <c r="BW51" s="749">
        <f t="shared" si="66"/>
        <v>172.70671807143489</v>
      </c>
      <c r="BX51" s="749">
        <f t="shared" si="67"/>
        <v>6.6423295380104941</v>
      </c>
      <c r="BY51" s="749">
        <v>4</v>
      </c>
      <c r="BZ51" s="749" t="s">
        <v>298</v>
      </c>
      <c r="CA51" s="749" t="s">
        <v>298</v>
      </c>
      <c r="CB51" s="749" t="s">
        <v>298</v>
      </c>
      <c r="CC51" s="749" t="s">
        <v>298</v>
      </c>
      <c r="CD51" s="749" t="s">
        <v>298</v>
      </c>
      <c r="CE51" s="749" t="s">
        <v>298</v>
      </c>
    </row>
    <row r="52" spans="1:83" s="9" customFormat="1" ht="11.25" customHeight="1">
      <c r="I52" s="466" t="s">
        <v>1430</v>
      </c>
      <c r="J52" s="1932" t="s">
        <v>1495</v>
      </c>
      <c r="K52" s="1932"/>
      <c r="L52" s="1932"/>
      <c r="M52" s="1932"/>
      <c r="N52" s="1932"/>
      <c r="O52" s="1932"/>
      <c r="P52" s="1932"/>
      <c r="Q52" s="1932"/>
      <c r="R52" s="1467" t="s">
        <v>1434</v>
      </c>
      <c r="S52" s="1930" t="s">
        <v>187</v>
      </c>
      <c r="T52" s="1930"/>
      <c r="U52" s="1930"/>
      <c r="V52" s="1930"/>
      <c r="W52" s="1930"/>
      <c r="X52" s="1930"/>
      <c r="Y52" s="1930"/>
      <c r="Z52" s="468" t="s">
        <v>30</v>
      </c>
      <c r="AA52" s="1931" t="s">
        <v>1973</v>
      </c>
      <c r="AB52" s="1931"/>
      <c r="AC52" s="1931"/>
      <c r="AD52" s="1931"/>
      <c r="AE52" s="1931"/>
      <c r="AF52" s="1931"/>
      <c r="AG52" s="1931"/>
      <c r="AH52" s="1931"/>
      <c r="AI52" s="469" t="s">
        <v>1435</v>
      </c>
      <c r="AJ52" s="1935" t="s">
        <v>1276</v>
      </c>
      <c r="AK52" s="1935"/>
      <c r="AL52" s="1935"/>
      <c r="AM52" s="1935"/>
      <c r="AN52" s="1935"/>
      <c r="AO52" s="1935"/>
      <c r="AP52" s="1935"/>
      <c r="AQ52" s="470"/>
      <c r="AR52" s="471"/>
      <c r="AS52" s="471"/>
      <c r="AT52" s="471"/>
      <c r="AU52" s="471"/>
      <c r="AV52" s="471"/>
      <c r="AW52" s="471"/>
      <c r="AX52" s="239"/>
      <c r="AY52" s="472" t="s">
        <v>186</v>
      </c>
      <c r="AZ52" s="467" t="s">
        <v>1399</v>
      </c>
      <c r="BA52" s="465"/>
      <c r="BB52" s="465"/>
      <c r="BC52" s="465"/>
      <c r="BD52" s="465"/>
      <c r="BE52" s="465"/>
      <c r="BF52" s="465"/>
      <c r="BG52" s="465"/>
      <c r="BH52" s="465"/>
      <c r="BI52" s="473"/>
      <c r="BJ52" s="1932"/>
      <c r="BK52" s="1932"/>
      <c r="BL52" s="1932"/>
      <c r="BM52" s="1932"/>
      <c r="BN52" s="1932"/>
      <c r="BO52" s="1932"/>
      <c r="BP52" s="1932"/>
      <c r="BQ52" s="1932"/>
      <c r="BR52" s="1932"/>
      <c r="BS52" s="1932"/>
      <c r="BT52" s="465"/>
      <c r="BU52" s="466" t="s">
        <v>1049</v>
      </c>
      <c r="BV52" s="467" t="s">
        <v>1050</v>
      </c>
      <c r="BW52" s="467"/>
      <c r="BX52" s="467"/>
      <c r="BY52" s="467"/>
      <c r="BZ52" s="467"/>
      <c r="CA52" s="467"/>
      <c r="CB52" s="467"/>
      <c r="CC52" s="465"/>
      <c r="CD52" s="465"/>
      <c r="CE52" s="465"/>
    </row>
    <row r="53" spans="1:83" s="9" customFormat="1" ht="9" customHeight="1">
      <c r="I53" s="474"/>
      <c r="J53" s="1936" t="s">
        <v>2372</v>
      </c>
      <c r="K53" s="1936"/>
      <c r="L53" s="1936"/>
      <c r="M53" s="1936"/>
      <c r="N53" s="1936"/>
      <c r="O53" s="1936"/>
      <c r="P53" s="1936"/>
      <c r="Q53" s="1936"/>
      <c r="R53" s="474"/>
      <c r="S53" s="1930" t="s">
        <v>1249</v>
      </c>
      <c r="T53" s="1930"/>
      <c r="U53" s="474"/>
      <c r="V53" s="996"/>
      <c r="W53" s="996"/>
      <c r="X53" s="996"/>
      <c r="Y53" s="996"/>
      <c r="Z53" s="1156"/>
      <c r="AA53" s="673"/>
      <c r="AB53" s="673"/>
      <c r="AC53" s="673"/>
      <c r="AD53" s="673"/>
      <c r="AE53" s="673"/>
      <c r="AF53" s="673"/>
      <c r="AG53" s="673"/>
      <c r="AH53" s="673"/>
      <c r="AI53" s="467"/>
      <c r="AJ53" s="1933" t="s">
        <v>1294</v>
      </c>
      <c r="AK53" s="1933"/>
      <c r="AL53" s="1933"/>
      <c r="AM53" s="1933"/>
      <c r="AN53" s="1933"/>
      <c r="AO53" s="1933"/>
      <c r="AP53" s="1933"/>
      <c r="AQ53" s="475"/>
      <c r="AR53" s="1016"/>
      <c r="AS53" s="471"/>
      <c r="AT53" s="471"/>
      <c r="AU53" s="471"/>
      <c r="AV53" s="475"/>
      <c r="AW53" s="483"/>
      <c r="AX53" s="483"/>
      <c r="AY53" s="474"/>
      <c r="AZ53" s="1930" t="s">
        <v>1624</v>
      </c>
      <c r="BA53" s="1930"/>
      <c r="BB53" s="1930"/>
      <c r="BC53" s="1930"/>
      <c r="BD53" s="1930"/>
      <c r="BE53" s="1930"/>
      <c r="BF53" s="1930"/>
      <c r="BG53" s="1930"/>
      <c r="BH53" s="1930"/>
      <c r="BI53" s="474"/>
      <c r="BJ53" s="467"/>
      <c r="BK53" s="467"/>
      <c r="BL53" s="467"/>
      <c r="BM53" s="467"/>
      <c r="BN53" s="467"/>
      <c r="BO53" s="467"/>
      <c r="BP53" s="467"/>
      <c r="BQ53" s="467"/>
      <c r="BR53" s="467"/>
      <c r="BS53" s="467"/>
      <c r="BT53" s="474"/>
      <c r="BU53" s="474"/>
      <c r="BV53" s="474" t="s">
        <v>1369</v>
      </c>
      <c r="BW53" s="471"/>
      <c r="BX53" s="471"/>
      <c r="BY53" s="471"/>
      <c r="BZ53" s="471"/>
      <c r="CA53" s="471"/>
      <c r="CB53" s="474"/>
      <c r="CC53" s="39"/>
      <c r="CD53" s="474"/>
      <c r="CE53" s="474"/>
    </row>
    <row r="54" spans="1:83" s="9" customFormat="1" ht="9" customHeight="1">
      <c r="I54" s="465"/>
      <c r="J54" s="1930" t="s">
        <v>1367</v>
      </c>
      <c r="K54" s="1930"/>
      <c r="L54" s="1930"/>
      <c r="M54" s="1930"/>
      <c r="N54" s="1930"/>
      <c r="O54" s="1930"/>
      <c r="P54" s="1930"/>
      <c r="Q54" s="1930"/>
      <c r="R54" s="1016"/>
      <c r="S54" s="1016"/>
      <c r="T54" s="1016"/>
      <c r="U54" s="1016"/>
      <c r="V54" s="1416"/>
      <c r="W54" s="996"/>
      <c r="X54" s="996"/>
      <c r="Y54" s="996"/>
      <c r="Z54" s="1156"/>
      <c r="AA54" s="1934"/>
      <c r="AB54" s="1934"/>
      <c r="AC54" s="1934"/>
      <c r="AD54" s="1934"/>
      <c r="AE54" s="1934"/>
      <c r="AF54" s="1934"/>
      <c r="AG54" s="1934"/>
      <c r="AH54" s="1934"/>
      <c r="AI54" s="471"/>
      <c r="AJ54" s="494"/>
      <c r="AK54" s="494"/>
      <c r="AL54" s="471"/>
      <c r="AM54" s="471"/>
      <c r="AN54" s="471"/>
      <c r="AO54" s="471"/>
      <c r="AP54" s="475"/>
      <c r="AQ54" s="475"/>
      <c r="AR54" s="471"/>
      <c r="AS54" s="471"/>
      <c r="AT54" s="471"/>
      <c r="AU54" s="471"/>
      <c r="AV54" s="475"/>
      <c r="AW54" s="471"/>
      <c r="AX54" s="471"/>
      <c r="AY54" s="476"/>
      <c r="AZ54" s="1930" t="s">
        <v>1398</v>
      </c>
      <c r="BA54" s="1930"/>
      <c r="BB54" s="1930"/>
      <c r="BC54" s="1930"/>
      <c r="BD54" s="1930"/>
      <c r="BE54" s="1930"/>
      <c r="BF54" s="1930"/>
      <c r="BG54" s="1930"/>
      <c r="BH54" s="1930"/>
      <c r="BI54" s="474"/>
      <c r="BJ54" s="474"/>
      <c r="BK54" s="474"/>
      <c r="BL54" s="474"/>
      <c r="BM54" s="474"/>
      <c r="BN54" s="474"/>
      <c r="BO54" s="474"/>
      <c r="BP54" s="474"/>
      <c r="BQ54" s="474"/>
      <c r="BR54" s="474"/>
      <c r="BS54" s="66"/>
      <c r="BT54" s="471"/>
      <c r="BU54" s="474"/>
      <c r="BV54" s="512" t="s">
        <v>2060</v>
      </c>
      <c r="BW54" s="512"/>
      <c r="BX54" s="471"/>
      <c r="BY54" s="471"/>
      <c r="BZ54" s="471"/>
      <c r="CA54" s="471"/>
      <c r="CB54" s="474"/>
      <c r="CC54" s="474"/>
      <c r="CD54" s="474"/>
      <c r="CE54" s="474"/>
    </row>
    <row r="55" spans="1:83" s="9" customFormat="1" ht="9" customHeight="1">
      <c r="I55" s="466" t="s">
        <v>1429</v>
      </c>
      <c r="J55" s="467" t="s">
        <v>1297</v>
      </c>
      <c r="K55" s="467"/>
      <c r="L55" s="467"/>
      <c r="M55" s="465"/>
      <c r="N55" s="465"/>
      <c r="O55" s="465"/>
      <c r="P55" s="43" t="s">
        <v>1390</v>
      </c>
      <c r="Q55" s="904"/>
      <c r="R55" s="904"/>
      <c r="S55" s="1154"/>
      <c r="T55" s="465"/>
      <c r="U55" s="474"/>
      <c r="V55" s="1416"/>
      <c r="W55" s="996"/>
      <c r="X55" s="996"/>
      <c r="Y55" s="996"/>
      <c r="Z55" s="1156"/>
      <c r="AA55" s="1016"/>
      <c r="AB55" s="476"/>
      <c r="AC55" s="474"/>
      <c r="AD55" s="474"/>
      <c r="AE55" s="474"/>
      <c r="AF55" s="474"/>
      <c r="AG55" s="474"/>
      <c r="AH55" s="474"/>
      <c r="AI55" s="474"/>
      <c r="AJ55" s="494"/>
      <c r="AK55" s="494"/>
      <c r="AL55" s="474"/>
      <c r="AM55" s="474"/>
      <c r="AN55" s="474"/>
      <c r="AO55" s="474"/>
      <c r="AP55" s="474"/>
      <c r="AQ55" s="474"/>
      <c r="AR55" s="474"/>
      <c r="AS55" s="474"/>
      <c r="AT55" s="474"/>
      <c r="AU55" s="474"/>
      <c r="AV55" s="996"/>
      <c r="AW55" s="474"/>
      <c r="AX55" s="996"/>
      <c r="AY55" s="474"/>
      <c r="AZ55" s="1931" t="s">
        <v>1673</v>
      </c>
      <c r="BA55" s="1931"/>
      <c r="BB55" s="1931"/>
      <c r="BC55" s="1931"/>
      <c r="BD55" s="1931"/>
      <c r="BE55" s="1931"/>
      <c r="BF55" s="1931"/>
      <c r="BG55" s="1931"/>
      <c r="BH55" s="1931"/>
      <c r="BI55" s="474"/>
      <c r="BJ55" s="476"/>
      <c r="BK55" s="476"/>
      <c r="BL55" s="474"/>
      <c r="BM55" s="474"/>
      <c r="BN55" s="474"/>
      <c r="BO55" s="474"/>
      <c r="BP55" s="474"/>
      <c r="BQ55" s="474"/>
      <c r="BR55" s="474"/>
      <c r="BS55" s="66"/>
      <c r="BT55" s="474"/>
      <c r="BU55" s="466" t="s">
        <v>16</v>
      </c>
      <c r="BV55" s="476" t="s">
        <v>1297</v>
      </c>
      <c r="BW55" s="8"/>
      <c r="BX55" s="8"/>
      <c r="BY55" s="474"/>
      <c r="BZ55" s="474"/>
      <c r="CA55" s="474"/>
      <c r="CB55" s="474"/>
      <c r="CC55" s="474"/>
      <c r="CD55" s="474"/>
      <c r="CE55" s="474"/>
    </row>
    <row r="56" spans="1:83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V56" s="1416"/>
      <c r="W56" s="996"/>
      <c r="X56" s="996"/>
      <c r="Y56" s="996"/>
      <c r="Z56" s="1156"/>
      <c r="AB56" s="239"/>
      <c r="AX56" s="40"/>
      <c r="AY56" s="9"/>
      <c r="AZ56" s="9"/>
      <c r="BA56" s="9"/>
      <c r="BB56" s="9"/>
      <c r="BC56" s="9"/>
      <c r="BD56" s="9"/>
      <c r="BE56" s="9"/>
      <c r="BF56" s="9"/>
      <c r="BG56" s="43"/>
      <c r="BH56" s="9"/>
      <c r="BV56" s="9"/>
      <c r="BW56" s="9"/>
      <c r="BX56" s="9"/>
      <c r="BY56" s="9"/>
    </row>
    <row r="57" spans="1:83" ht="12.75">
      <c r="A57" s="9"/>
      <c r="B57" s="9"/>
      <c r="C57" s="9"/>
      <c r="D57" s="9"/>
      <c r="E57" s="9"/>
      <c r="F57" s="9"/>
      <c r="G57" s="9"/>
      <c r="H57" s="9"/>
      <c r="I57" s="168"/>
      <c r="J57" s="483"/>
      <c r="K57" s="483"/>
      <c r="L57" s="483"/>
      <c r="M57" s="483"/>
      <c r="N57" s="483"/>
      <c r="O57" s="483"/>
      <c r="P57" s="483"/>
      <c r="Q57" s="483"/>
      <c r="R57" s="483"/>
      <c r="S57" s="483"/>
      <c r="T57" s="483"/>
      <c r="U57" s="483"/>
      <c r="V57" s="1416"/>
      <c r="W57" s="996"/>
      <c r="X57" s="996"/>
      <c r="Y57" s="996"/>
      <c r="Z57" s="1156"/>
      <c r="AA57" s="239"/>
      <c r="AB57" s="483"/>
      <c r="AC57" s="576"/>
      <c r="AD57" s="239"/>
      <c r="AE57" s="239"/>
      <c r="AF57" s="483"/>
      <c r="AG57" s="483"/>
      <c r="AH57" s="239"/>
      <c r="AI57" s="494"/>
      <c r="AJ57" s="494"/>
      <c r="AK57" s="494"/>
      <c r="AL57" s="463"/>
      <c r="AM57" s="239"/>
      <c r="AN57" s="239"/>
      <c r="AO57" s="239"/>
      <c r="AP57" s="239"/>
      <c r="AQ57" s="168"/>
      <c r="AR57" s="483"/>
      <c r="AS57" s="483"/>
      <c r="AT57" s="483"/>
      <c r="AU57" s="483"/>
      <c r="AV57" s="483"/>
      <c r="AW57" s="483"/>
      <c r="AX57" s="239"/>
      <c r="AY57" s="239"/>
      <c r="AZ57" s="239"/>
      <c r="BA57" s="483"/>
      <c r="BB57" s="483"/>
      <c r="BC57" s="238"/>
      <c r="BD57" s="483"/>
      <c r="BE57" s="483"/>
      <c r="BF57" s="483"/>
      <c r="BG57" s="483"/>
      <c r="BH57" s="239"/>
      <c r="BI57" s="168"/>
      <c r="BJ57" s="268"/>
      <c r="BK57" s="268"/>
      <c r="BL57" s="268"/>
      <c r="BM57" s="268"/>
      <c r="BN57" s="268"/>
      <c r="BO57" s="268"/>
      <c r="BP57" s="268"/>
      <c r="BQ57" s="268"/>
      <c r="BR57" s="397"/>
      <c r="BS57" s="397"/>
      <c r="BT57" s="397"/>
      <c r="BU57" s="268"/>
      <c r="BV57" s="268"/>
      <c r="BW57" s="268"/>
      <c r="BX57" s="268"/>
      <c r="BY57" s="268"/>
      <c r="BZ57" s="986"/>
      <c r="CA57" s="986"/>
      <c r="CB57" s="986"/>
      <c r="CC57" s="986"/>
      <c r="CD57" s="268"/>
      <c r="CE57" s="268"/>
    </row>
    <row r="58" spans="1:83" ht="12.7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150"/>
      <c r="R58" s="9"/>
      <c r="S58" s="9"/>
      <c r="T58" s="9"/>
      <c r="U58" s="9"/>
      <c r="V58" s="1416"/>
      <c r="W58" s="996"/>
      <c r="X58" s="996"/>
      <c r="Y58" s="996"/>
      <c r="Z58" s="1156"/>
      <c r="AA58" s="9"/>
      <c r="AB58" s="9"/>
      <c r="AC58" s="9"/>
      <c r="AD58" s="9"/>
      <c r="AE58" s="1257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150"/>
      <c r="AY58" s="9"/>
      <c r="AZ58" s="150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</row>
    <row r="59" spans="1:83">
      <c r="I59" s="9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416"/>
      <c r="W59" s="996"/>
      <c r="X59" s="996"/>
      <c r="Y59" s="996"/>
      <c r="Z59" s="1156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826"/>
      <c r="BC59" s="150"/>
      <c r="BD59" s="150"/>
      <c r="BE59" s="150"/>
      <c r="BF59" s="150"/>
      <c r="BG59" s="150"/>
      <c r="BH59" s="150"/>
      <c r="BI59" s="150"/>
      <c r="BJ59" s="150"/>
      <c r="BK59" s="150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</row>
    <row r="60" spans="1:83">
      <c r="I60" s="9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40"/>
      <c r="W60" s="996"/>
      <c r="X60" s="996"/>
      <c r="Y60" s="996"/>
      <c r="Z60" s="1156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66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9"/>
      <c r="BF60" s="9"/>
      <c r="BG60" s="9"/>
      <c r="BH60" s="9"/>
      <c r="BI60" s="166"/>
      <c r="BJ60" s="9"/>
      <c r="BK60" s="9"/>
      <c r="BL60" s="9"/>
      <c r="BM60" s="9"/>
      <c r="BN60" s="9"/>
      <c r="BO60" s="9"/>
      <c r="BP60" s="9"/>
      <c r="BS60" s="829"/>
      <c r="BT60" s="9"/>
      <c r="BU60" s="9"/>
      <c r="BV60" s="9"/>
      <c r="BW60" s="9"/>
      <c r="BX60" s="9"/>
      <c r="BY60" s="9"/>
      <c r="BZ60" s="9"/>
      <c r="CA60" s="9"/>
      <c r="CB60" s="166"/>
      <c r="CC60" s="9"/>
      <c r="CD60" s="9"/>
      <c r="CE60" s="9"/>
    </row>
    <row r="61" spans="1:83"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996"/>
      <c r="X61" s="996"/>
      <c r="Y61" s="996"/>
      <c r="Z61" s="1156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88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181"/>
      <c r="BC61" s="40"/>
      <c r="BD61" s="40"/>
      <c r="BE61" s="40"/>
      <c r="BF61" s="40"/>
      <c r="BG61" s="40"/>
      <c r="BH61" s="40"/>
      <c r="BI61" s="88"/>
      <c r="BJ61" s="40"/>
      <c r="BK61" s="40"/>
      <c r="BL61" s="40"/>
      <c r="BM61" s="40"/>
      <c r="BN61" s="40"/>
      <c r="BO61" s="40"/>
      <c r="BP61" s="360"/>
      <c r="BQ61" s="360"/>
      <c r="BR61" s="40"/>
      <c r="BS61" s="829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</row>
    <row r="62" spans="1:83">
      <c r="V62" s="40"/>
      <c r="W62" s="996"/>
      <c r="X62" s="996"/>
      <c r="Z62" s="1156"/>
      <c r="AE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U62" s="88"/>
      <c r="BV62" s="88"/>
      <c r="BW62" s="88"/>
      <c r="BX62" s="88"/>
    </row>
    <row r="63" spans="1:83">
      <c r="V63" s="40"/>
      <c r="W63" s="996"/>
      <c r="X63" s="996"/>
      <c r="Z63" s="1156"/>
      <c r="AM63" s="40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40"/>
      <c r="W64" s="996"/>
      <c r="X64" s="996"/>
      <c r="Z64" s="1156"/>
      <c r="AD64" s="40"/>
      <c r="AE64" s="40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40"/>
      <c r="W65" s="996"/>
      <c r="Z65" s="1156"/>
      <c r="AD65" s="40"/>
      <c r="AE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40"/>
      <c r="W66" s="996"/>
      <c r="Z66" s="1156"/>
      <c r="AD66" s="40"/>
      <c r="AE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40"/>
      <c r="W67" s="996"/>
      <c r="Z67" s="1156"/>
      <c r="AD67" s="40"/>
      <c r="AE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W68" s="996"/>
      <c r="AD68" s="40"/>
      <c r="AE68" s="40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W69" s="996"/>
      <c r="AD69" s="40"/>
      <c r="AE69" s="40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AD70" s="40"/>
      <c r="AE70" s="40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</row>
    <row r="72" spans="10:83"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</row>
    <row r="73" spans="10:83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 ht="12.75" customHeight="1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 ht="12" customHeight="1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 ht="15" customHeight="1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 ht="12" customHeight="1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10:83" ht="12" customHeight="1"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</row>
    <row r="81" spans="10:83"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0:83">
      <c r="AD82" s="40"/>
      <c r="AE82" s="40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10:83">
      <c r="AD83" s="40"/>
      <c r="AE83" s="40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0:83"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E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E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0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0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S52:Y52"/>
    <mergeCell ref="AA52:AH52"/>
    <mergeCell ref="BJ52:BS52"/>
    <mergeCell ref="S53:T53"/>
    <mergeCell ref="AJ53:AP53"/>
    <mergeCell ref="J54:Q54"/>
    <mergeCell ref="AA54:AH54"/>
    <mergeCell ref="AZ55:BH55"/>
    <mergeCell ref="AJ52:AP52"/>
    <mergeCell ref="J53:Q53"/>
    <mergeCell ref="AZ54:BH54"/>
    <mergeCell ref="J52:Q52"/>
    <mergeCell ref="AZ53:BH53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9" priority="129" stopIfTrue="1">
      <formula>MOD(ROW(),2)=1</formula>
    </cfRule>
  </conditionalFormatting>
  <conditionalFormatting sqref="Z14 AQ14 BI14 I14">
    <cfRule type="expression" dxfId="8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6"/>
  <sheetViews>
    <sheetView zoomScale="130" zoomScaleNormal="130" workbookViewId="0">
      <pane xSplit="1" ySplit="5" topLeftCell="B48" activePane="bottomRight" state="frozen"/>
      <selection activeCell="G9" sqref="G9"/>
      <selection pane="topRight" activeCell="G9" sqref="G9"/>
      <selection pane="bottomLeft" activeCell="G9" sqref="G9"/>
      <selection pane="bottomRight" activeCell="I61" sqref="I61:I62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22" t="s">
        <v>57</v>
      </c>
      <c r="C1" s="2422"/>
      <c r="D1" s="2422"/>
      <c r="E1" s="2422"/>
      <c r="F1" s="2422"/>
      <c r="G1" s="2422"/>
      <c r="H1" s="2422"/>
      <c r="I1" s="2422"/>
      <c r="J1" s="1545"/>
      <c r="K1" s="2417" t="s">
        <v>618</v>
      </c>
      <c r="L1" s="2417"/>
      <c r="M1" s="2417"/>
      <c r="O1" s="2422" t="s">
        <v>17</v>
      </c>
      <c r="P1" s="2422"/>
      <c r="Q1" s="2422"/>
      <c r="R1" s="2422"/>
      <c r="S1" s="2422"/>
      <c r="T1" s="2422"/>
      <c r="U1" s="2422"/>
      <c r="V1" s="2422"/>
      <c r="W1" s="1545"/>
      <c r="X1" s="2417" t="s">
        <v>618</v>
      </c>
      <c r="Y1" s="2417"/>
      <c r="Z1" s="2417"/>
      <c r="AB1" s="2422" t="s">
        <v>18</v>
      </c>
      <c r="AC1" s="2422"/>
      <c r="AD1" s="2422"/>
      <c r="AE1" s="2422"/>
      <c r="AF1" s="2422"/>
      <c r="AG1" s="2422"/>
      <c r="AH1" s="2422"/>
      <c r="AI1" s="2422"/>
      <c r="AJ1" s="1545"/>
      <c r="AK1" s="2417" t="s">
        <v>622</v>
      </c>
      <c r="AL1" s="2417"/>
      <c r="AM1" s="2417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38" t="s">
        <v>524</v>
      </c>
      <c r="L2" s="2238"/>
      <c r="M2" s="2238"/>
      <c r="N2" s="77"/>
      <c r="O2" s="77"/>
      <c r="P2" s="77"/>
      <c r="Q2" s="77"/>
      <c r="R2" s="77"/>
      <c r="S2" s="77"/>
      <c r="T2" s="77"/>
      <c r="U2" s="77"/>
      <c r="V2" s="77"/>
      <c r="W2" s="77"/>
      <c r="X2" s="2416" t="s">
        <v>524</v>
      </c>
      <c r="Y2" s="2416"/>
      <c r="Z2" s="2416"/>
      <c r="AK2" s="2416" t="s">
        <v>524</v>
      </c>
      <c r="AL2" s="2416"/>
      <c r="AM2" s="2416"/>
    </row>
    <row r="3" spans="1:39" ht="12.75" customHeight="1">
      <c r="A3" s="2421" t="s">
        <v>498</v>
      </c>
      <c r="B3" s="2194" t="s">
        <v>1997</v>
      </c>
      <c r="C3" s="2195"/>
      <c r="D3" s="2195"/>
      <c r="E3" s="2195"/>
      <c r="F3" s="2195"/>
      <c r="G3" s="2195"/>
      <c r="H3" s="2195"/>
      <c r="I3" s="2195"/>
      <c r="J3" s="2195"/>
      <c r="K3" s="2195"/>
      <c r="L3" s="2195"/>
      <c r="M3" s="2196"/>
      <c r="N3" s="2421" t="s">
        <v>498</v>
      </c>
      <c r="O3" s="2194" t="s">
        <v>525</v>
      </c>
      <c r="P3" s="2195"/>
      <c r="Q3" s="2195"/>
      <c r="R3" s="2195"/>
      <c r="S3" s="2195"/>
      <c r="T3" s="2195"/>
      <c r="U3" s="2195"/>
      <c r="V3" s="2195"/>
      <c r="W3" s="2195"/>
      <c r="X3" s="2195"/>
      <c r="Y3" s="2195"/>
      <c r="Z3" s="2196"/>
      <c r="AA3" s="2421" t="s">
        <v>498</v>
      </c>
      <c r="AB3" s="2194" t="s">
        <v>525</v>
      </c>
      <c r="AC3" s="2195"/>
      <c r="AD3" s="2195"/>
      <c r="AE3" s="2195"/>
      <c r="AF3" s="2195"/>
      <c r="AG3" s="2195"/>
      <c r="AH3" s="2195"/>
      <c r="AI3" s="2195"/>
      <c r="AJ3" s="2195"/>
      <c r="AK3" s="2195"/>
      <c r="AL3" s="2195"/>
      <c r="AM3" s="2196"/>
    </row>
    <row r="4" spans="1:39" s="18" customFormat="1" ht="12.75" customHeight="1">
      <c r="A4" s="2421"/>
      <c r="B4" s="2419" t="s">
        <v>78</v>
      </c>
      <c r="C4" s="2419"/>
      <c r="D4" s="2420"/>
      <c r="E4" s="2418" t="s">
        <v>643</v>
      </c>
      <c r="F4" s="2419"/>
      <c r="G4" s="2420"/>
      <c r="H4" s="2418" t="s">
        <v>641</v>
      </c>
      <c r="I4" s="2419"/>
      <c r="J4" s="2420"/>
      <c r="K4" s="2418" t="s">
        <v>79</v>
      </c>
      <c r="L4" s="2419"/>
      <c r="M4" s="2420"/>
      <c r="N4" s="2421"/>
      <c r="O4" s="2418" t="s">
        <v>78</v>
      </c>
      <c r="P4" s="2419"/>
      <c r="Q4" s="2420"/>
      <c r="R4" s="2418" t="s">
        <v>643</v>
      </c>
      <c r="S4" s="2419"/>
      <c r="T4" s="2420"/>
      <c r="U4" s="2418" t="s">
        <v>641</v>
      </c>
      <c r="V4" s="2419"/>
      <c r="W4" s="2420"/>
      <c r="X4" s="2418" t="s">
        <v>79</v>
      </c>
      <c r="Y4" s="2419"/>
      <c r="Z4" s="2420"/>
      <c r="AA4" s="2421"/>
      <c r="AB4" s="2418" t="s">
        <v>78</v>
      </c>
      <c r="AC4" s="2419"/>
      <c r="AD4" s="2420"/>
      <c r="AE4" s="2418" t="s">
        <v>643</v>
      </c>
      <c r="AF4" s="2419"/>
      <c r="AG4" s="2420"/>
      <c r="AH4" s="2418" t="s">
        <v>641</v>
      </c>
      <c r="AI4" s="2419"/>
      <c r="AJ4" s="2420"/>
      <c r="AK4" s="2418" t="s">
        <v>79</v>
      </c>
      <c r="AL4" s="2419"/>
      <c r="AM4" s="2420"/>
    </row>
    <row r="5" spans="1:39" s="18" customFormat="1" ht="22.5" customHeight="1">
      <c r="A5" s="2421"/>
      <c r="B5" s="1542" t="s">
        <v>551</v>
      </c>
      <c r="C5" s="1108" t="s">
        <v>80</v>
      </c>
      <c r="D5" s="116" t="s">
        <v>650</v>
      </c>
      <c r="E5" s="1542" t="s">
        <v>551</v>
      </c>
      <c r="F5" s="1544" t="s">
        <v>80</v>
      </c>
      <c r="G5" s="116" t="s">
        <v>650</v>
      </c>
      <c r="H5" s="1542" t="s">
        <v>551</v>
      </c>
      <c r="I5" s="1544" t="s">
        <v>80</v>
      </c>
      <c r="J5" s="116" t="s">
        <v>650</v>
      </c>
      <c r="K5" s="1542" t="s">
        <v>551</v>
      </c>
      <c r="L5" s="1544" t="s">
        <v>80</v>
      </c>
      <c r="M5" s="116" t="s">
        <v>650</v>
      </c>
      <c r="N5" s="2421"/>
      <c r="O5" s="1542" t="s">
        <v>551</v>
      </c>
      <c r="P5" s="1544" t="s">
        <v>80</v>
      </c>
      <c r="Q5" s="116" t="s">
        <v>650</v>
      </c>
      <c r="R5" s="1542" t="s">
        <v>551</v>
      </c>
      <c r="S5" s="1544" t="s">
        <v>80</v>
      </c>
      <c r="T5" s="116" t="s">
        <v>650</v>
      </c>
      <c r="U5" s="1542" t="s">
        <v>551</v>
      </c>
      <c r="V5" s="1544" t="s">
        <v>80</v>
      </c>
      <c r="W5" s="116" t="s">
        <v>650</v>
      </c>
      <c r="X5" s="1542" t="s">
        <v>551</v>
      </c>
      <c r="Y5" s="1544" t="s">
        <v>80</v>
      </c>
      <c r="Z5" s="116" t="s">
        <v>650</v>
      </c>
      <c r="AA5" s="2421"/>
      <c r="AB5" s="1542" t="s">
        <v>551</v>
      </c>
      <c r="AC5" s="1544" t="s">
        <v>80</v>
      </c>
      <c r="AD5" s="116" t="s">
        <v>650</v>
      </c>
      <c r="AE5" s="1542" t="s">
        <v>551</v>
      </c>
      <c r="AF5" s="1544" t="s">
        <v>80</v>
      </c>
      <c r="AG5" s="116" t="s">
        <v>650</v>
      </c>
      <c r="AH5" s="1542" t="s">
        <v>551</v>
      </c>
      <c r="AI5" s="1544" t="s">
        <v>80</v>
      </c>
      <c r="AJ5" s="116" t="s">
        <v>650</v>
      </c>
      <c r="AK5" s="1542" t="s">
        <v>551</v>
      </c>
      <c r="AL5" s="1544" t="s">
        <v>80</v>
      </c>
      <c r="AM5" s="116" t="s">
        <v>650</v>
      </c>
    </row>
    <row r="6" spans="1:39" s="277" customFormat="1" ht="11.25" customHeight="1">
      <c r="A6" s="1275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275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275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77" customFormat="1" ht="11.25" customHeight="1">
      <c r="A7" s="325" t="s">
        <v>192</v>
      </c>
      <c r="B7" s="337">
        <v>0.16791666666666663</v>
      </c>
      <c r="C7" s="337">
        <v>0.24756944444444443</v>
      </c>
      <c r="D7" s="315">
        <v>0.43798611111111113</v>
      </c>
      <c r="E7" s="337">
        <v>0.33444444444444449</v>
      </c>
      <c r="F7" s="337">
        <v>0.39881944444444439</v>
      </c>
      <c r="G7" s="315">
        <v>0.64472222222222209</v>
      </c>
      <c r="H7" s="337">
        <v>0.50624999999999998</v>
      </c>
      <c r="I7" s="337">
        <v>0.66923611111111114</v>
      </c>
      <c r="J7" s="315">
        <v>0.94277777777777783</v>
      </c>
      <c r="K7" s="337">
        <v>0.73374999999999979</v>
      </c>
      <c r="L7" s="337">
        <v>0.93069444444444438</v>
      </c>
      <c r="M7" s="315">
        <v>1.0635416666666668</v>
      </c>
      <c r="N7" s="325" t="s">
        <v>192</v>
      </c>
      <c r="O7" s="337">
        <v>0.14000000000000004</v>
      </c>
      <c r="P7" s="337">
        <v>0.29643229166666668</v>
      </c>
      <c r="Q7" s="315">
        <v>0.40145833333333342</v>
      </c>
      <c r="R7" s="337">
        <v>0.19358333333333333</v>
      </c>
      <c r="S7" s="337">
        <v>0.41849999999999993</v>
      </c>
      <c r="T7" s="315">
        <v>0.53516666666666668</v>
      </c>
      <c r="U7" s="337">
        <v>0.28266666666666668</v>
      </c>
      <c r="V7" s="337">
        <v>0.55945833333333328</v>
      </c>
      <c r="W7" s="315">
        <v>0.64966666666666673</v>
      </c>
      <c r="X7" s="337">
        <v>0.5678333333333333</v>
      </c>
      <c r="Y7" s="337">
        <v>0.83166666666666655</v>
      </c>
      <c r="Z7" s="315">
        <v>0.87583333333333313</v>
      </c>
      <c r="AA7" s="325" t="s">
        <v>192</v>
      </c>
      <c r="AB7" s="337">
        <v>0.75583333333333336</v>
      </c>
      <c r="AC7" s="337">
        <v>0.28083333333333332</v>
      </c>
      <c r="AD7" s="315">
        <v>0.31277777777777777</v>
      </c>
      <c r="AE7" s="337">
        <v>1.0994444444444444</v>
      </c>
      <c r="AF7" s="337">
        <v>0.41625000000000001</v>
      </c>
      <c r="AG7" s="315">
        <v>0.53763888888888889</v>
      </c>
      <c r="AH7" s="337">
        <v>1.1913888888888888</v>
      </c>
      <c r="AI7" s="337">
        <v>0.5097222222222223</v>
      </c>
      <c r="AJ7" s="315">
        <v>0.62097222222222215</v>
      </c>
      <c r="AK7" s="337">
        <v>0.79916666666666647</v>
      </c>
      <c r="AL7" s="337">
        <v>0.54180555555555554</v>
      </c>
      <c r="AM7" s="315">
        <v>0.79249999999999998</v>
      </c>
    </row>
    <row r="8" spans="1:39" s="277" customFormat="1" ht="11.25" customHeight="1">
      <c r="A8" s="1275" t="s">
        <v>757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275" t="s">
        <v>757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275" t="s">
        <v>757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77" customFormat="1" ht="11.25" customHeight="1">
      <c r="A9" s="325" t="s">
        <v>866</v>
      </c>
      <c r="B9" s="337">
        <v>0.16958333333333339</v>
      </c>
      <c r="C9" s="337">
        <v>0.21965277777777778</v>
      </c>
      <c r="D9" s="315">
        <v>3.6111111111111114E-3</v>
      </c>
      <c r="E9" s="337">
        <v>0.19888888888888887</v>
      </c>
      <c r="F9" s="337">
        <v>0.28486111111111112</v>
      </c>
      <c r="G9" s="315">
        <v>5.0833333333333341E-2</v>
      </c>
      <c r="H9" s="337">
        <v>0.35916666666666669</v>
      </c>
      <c r="I9" s="337">
        <v>0.44350694444444455</v>
      </c>
      <c r="J9" s="315">
        <v>0.12611111111111115</v>
      </c>
      <c r="K9" s="337">
        <v>0.59020833333333322</v>
      </c>
      <c r="L9" s="337">
        <v>0.70586805555555554</v>
      </c>
      <c r="M9" s="315">
        <v>0.26034722222222223</v>
      </c>
      <c r="N9" s="325" t="s">
        <v>866</v>
      </c>
      <c r="O9" s="337">
        <v>9.2082500000000012E-2</v>
      </c>
      <c r="P9" s="337">
        <v>0.24228124999999998</v>
      </c>
      <c r="Q9" s="315">
        <v>0.18372943333333333</v>
      </c>
      <c r="R9" s="337">
        <v>0.18142521929166663</v>
      </c>
      <c r="S9" s="337">
        <v>0.38397137278333332</v>
      </c>
      <c r="T9" s="315">
        <v>0.29373464912499997</v>
      </c>
      <c r="U9" s="337">
        <v>0.29680622806666668</v>
      </c>
      <c r="V9" s="337">
        <v>0.43682707018333344</v>
      </c>
      <c r="W9" s="315">
        <v>0.38601997368333335</v>
      </c>
      <c r="X9" s="337">
        <v>0.80951328947222212</v>
      </c>
      <c r="Y9" s="337">
        <v>0.69534501314999997</v>
      </c>
      <c r="Z9" s="315">
        <v>0.51850818421666667</v>
      </c>
      <c r="AA9" s="325" t="s">
        <v>866</v>
      </c>
      <c r="AB9" s="337">
        <v>0.55041666666666667</v>
      </c>
      <c r="AC9" s="337">
        <v>0.39874999999999999</v>
      </c>
      <c r="AD9" s="315">
        <v>0.5</v>
      </c>
      <c r="AE9" s="337">
        <v>1.4790416666666666</v>
      </c>
      <c r="AF9" s="337">
        <v>0.55916666666666681</v>
      </c>
      <c r="AG9" s="315">
        <v>0.75</v>
      </c>
      <c r="AH9" s="337">
        <v>1.4741041666666668</v>
      </c>
      <c r="AI9" s="337">
        <v>0.68750000000000011</v>
      </c>
      <c r="AJ9" s="315">
        <v>0.62416666666666665</v>
      </c>
      <c r="AK9" s="337">
        <v>1.2992333333333332</v>
      </c>
      <c r="AL9" s="337">
        <v>0.85916666666666675</v>
      </c>
      <c r="AM9" s="315">
        <v>1.25</v>
      </c>
    </row>
    <row r="10" spans="1:39" s="168" customFormat="1" ht="11.25" customHeight="1">
      <c r="A10" s="358" t="s">
        <v>1051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58" t="s">
        <v>1051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58" t="s">
        <v>1051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67" customFormat="1" ht="11.25" customHeight="1">
      <c r="A11" s="1541" t="s">
        <v>1105</v>
      </c>
      <c r="B11" s="462">
        <v>6.0833333333333323E-2</v>
      </c>
      <c r="C11" s="462">
        <v>0.2014565555</v>
      </c>
      <c r="D11" s="462">
        <v>0</v>
      </c>
      <c r="E11" s="462">
        <v>3.8953055555555553E-2</v>
      </c>
      <c r="F11" s="462">
        <v>0.25167252783333338</v>
      </c>
      <c r="G11" s="462">
        <v>1.7500000000000002E-2</v>
      </c>
      <c r="H11" s="462">
        <v>8.435333333333335E-2</v>
      </c>
      <c r="I11" s="462">
        <v>0.36996055550000001</v>
      </c>
      <c r="J11" s="462">
        <v>1.0833333333333334E-2</v>
      </c>
      <c r="K11" s="462">
        <v>0.25765302783333327</v>
      </c>
      <c r="L11" s="462">
        <v>0.57783030549999992</v>
      </c>
      <c r="M11" s="462">
        <v>5.1990729166666673E-2</v>
      </c>
      <c r="N11" s="1541" t="s">
        <v>1105</v>
      </c>
      <c r="O11" s="462">
        <v>0.417658549951267</v>
      </c>
      <c r="P11" s="462">
        <v>0.42778127485021789</v>
      </c>
      <c r="Q11" s="462">
        <v>0.25705915530303031</v>
      </c>
      <c r="R11" s="462">
        <v>0.39406351697994985</v>
      </c>
      <c r="S11" s="462">
        <v>0.5138648752314815</v>
      </c>
      <c r="T11" s="462">
        <v>0.27559262629540598</v>
      </c>
      <c r="U11" s="462">
        <v>0.71116524939227155</v>
      </c>
      <c r="V11" s="462">
        <v>0.68667745396825397</v>
      </c>
      <c r="W11" s="462">
        <v>0.4250588182539683</v>
      </c>
      <c r="X11" s="462">
        <v>0.81893196351991071</v>
      </c>
      <c r="Y11" s="462">
        <v>1.0508996562908497</v>
      </c>
      <c r="Z11" s="462">
        <v>0.52704765201465198</v>
      </c>
      <c r="AA11" s="1541" t="s">
        <v>1105</v>
      </c>
      <c r="AB11" s="462">
        <v>1.0156928895833335</v>
      </c>
      <c r="AC11" s="462">
        <v>0.41749176666666665</v>
      </c>
      <c r="AD11" s="462">
        <v>0.46336752083333338</v>
      </c>
      <c r="AE11" s="462">
        <v>1.1542176916666664</v>
      </c>
      <c r="AF11" s="462">
        <v>0.57261966666666686</v>
      </c>
      <c r="AG11" s="462">
        <v>0.58483106666666662</v>
      </c>
      <c r="AH11" s="462">
        <v>0.76716723611111093</v>
      </c>
      <c r="AI11" s="462">
        <v>0.67324468055555553</v>
      </c>
      <c r="AJ11" s="462">
        <v>0.98999999999999988</v>
      </c>
      <c r="AK11" s="462">
        <v>0.94661391388888882</v>
      </c>
      <c r="AL11" s="462">
        <v>0.87057560555555547</v>
      </c>
      <c r="AM11" s="462">
        <v>1.0833333333333333</v>
      </c>
    </row>
    <row r="12" spans="1:39" s="267" customFormat="1" ht="11.25" customHeight="1">
      <c r="A12" s="1540" t="s">
        <v>1231</v>
      </c>
      <c r="B12" s="576">
        <v>0.13249999999999998</v>
      </c>
      <c r="C12" s="576">
        <v>0.18583333333333332</v>
      </c>
      <c r="D12" s="576">
        <v>0</v>
      </c>
      <c r="E12" s="576">
        <v>0.19583333333333333</v>
      </c>
      <c r="F12" s="576">
        <v>0.24333333333333332</v>
      </c>
      <c r="G12" s="576">
        <v>0</v>
      </c>
      <c r="H12" s="576">
        <v>0.34833333333333333</v>
      </c>
      <c r="I12" s="576">
        <v>0.36833333333333335</v>
      </c>
      <c r="J12" s="576">
        <v>0</v>
      </c>
      <c r="K12" s="576">
        <v>0.53416666666666668</v>
      </c>
      <c r="L12" s="576">
        <v>0.53833333333333333</v>
      </c>
      <c r="M12" s="576">
        <v>0</v>
      </c>
      <c r="N12" s="1540" t="s">
        <v>1231</v>
      </c>
      <c r="O12" s="576">
        <v>0.43916666666666665</v>
      </c>
      <c r="P12" s="576">
        <v>0.4283333333333334</v>
      </c>
      <c r="Q12" s="576">
        <v>0.29750000000000004</v>
      </c>
      <c r="R12" s="576">
        <v>0.47166666666666668</v>
      </c>
      <c r="S12" s="576">
        <v>0.50166666666666659</v>
      </c>
      <c r="T12" s="576">
        <v>0.3066666666666667</v>
      </c>
      <c r="U12" s="576">
        <v>1.1066666666666667</v>
      </c>
      <c r="V12" s="576">
        <v>0.70416666666666661</v>
      </c>
      <c r="W12" s="576">
        <v>0.48750000000000004</v>
      </c>
      <c r="X12" s="576">
        <v>1.1833333333333333</v>
      </c>
      <c r="Y12" s="576">
        <v>0.90083333333333326</v>
      </c>
      <c r="Z12" s="576">
        <v>0.51250000000000007</v>
      </c>
      <c r="AA12" s="1540" t="s">
        <v>1231</v>
      </c>
      <c r="AB12" s="576">
        <v>1.0274999999999999</v>
      </c>
      <c r="AC12" s="576">
        <v>0.43500000000000005</v>
      </c>
      <c r="AD12" s="576">
        <v>0.51666666666666672</v>
      </c>
      <c r="AE12" s="576">
        <v>1.1783333333333332</v>
      </c>
      <c r="AF12" s="576">
        <v>0.65</v>
      </c>
      <c r="AG12" s="576">
        <v>0.63166666666666671</v>
      </c>
      <c r="AH12" s="576">
        <v>0.83250000000000002</v>
      </c>
      <c r="AI12" s="576">
        <v>0.71166666666666656</v>
      </c>
      <c r="AJ12" s="576">
        <v>0.9</v>
      </c>
      <c r="AK12" s="576">
        <v>0.9558333333333332</v>
      </c>
      <c r="AL12" s="576">
        <v>0.89583333333333337</v>
      </c>
      <c r="AM12" s="576">
        <v>1.0983333333333334</v>
      </c>
    </row>
    <row r="13" spans="1:39" s="267" customFormat="1" ht="11.25" customHeight="1">
      <c r="A13" s="1541" t="s">
        <v>1263</v>
      </c>
      <c r="B13" s="462">
        <v>0.46749999999999997</v>
      </c>
      <c r="C13" s="462">
        <v>3.1666666666666676E-2</v>
      </c>
      <c r="D13" s="462">
        <v>0</v>
      </c>
      <c r="E13" s="462">
        <v>0.56916666666666671</v>
      </c>
      <c r="F13" s="462">
        <v>0.2525</v>
      </c>
      <c r="G13" s="462">
        <v>0</v>
      </c>
      <c r="H13" s="462">
        <v>0.86916666666666675</v>
      </c>
      <c r="I13" s="462">
        <v>0.21083333333333334</v>
      </c>
      <c r="J13" s="462">
        <v>0</v>
      </c>
      <c r="K13" s="462">
        <v>1.095</v>
      </c>
      <c r="L13" s="462">
        <v>0.36166666666666664</v>
      </c>
      <c r="M13" s="462">
        <v>0</v>
      </c>
      <c r="N13" s="1541" t="s">
        <v>1263</v>
      </c>
      <c r="O13" s="462">
        <v>0.48500000000000004</v>
      </c>
      <c r="P13" s="462">
        <v>0.30583333333333335</v>
      </c>
      <c r="Q13" s="462">
        <v>0.32083333333333336</v>
      </c>
      <c r="R13" s="462">
        <v>0.85083333333333344</v>
      </c>
      <c r="S13" s="462">
        <v>0.37666666666666665</v>
      </c>
      <c r="T13" s="462">
        <v>0.25500000000000006</v>
      </c>
      <c r="U13" s="462">
        <v>0.90499999999999992</v>
      </c>
      <c r="V13" s="462">
        <v>0.50666666666666671</v>
      </c>
      <c r="W13" s="462">
        <v>0.38333333333333336</v>
      </c>
      <c r="X13" s="462">
        <v>1.0366666666666666</v>
      </c>
      <c r="Y13" s="462">
        <v>0.62916666666666676</v>
      </c>
      <c r="Z13" s="462">
        <v>0.46416666666666662</v>
      </c>
      <c r="AA13" s="1541" t="s">
        <v>1263</v>
      </c>
      <c r="AB13" s="462">
        <v>1.01</v>
      </c>
      <c r="AC13" s="462">
        <v>0.44416666666666665</v>
      </c>
      <c r="AD13" s="462">
        <v>0.49166666666666664</v>
      </c>
      <c r="AE13" s="462">
        <v>1.1283333333333334</v>
      </c>
      <c r="AF13" s="462">
        <v>0.58333333333333337</v>
      </c>
      <c r="AG13" s="462">
        <v>0.47666666666666657</v>
      </c>
      <c r="AH13" s="462">
        <v>0.86666666666666659</v>
      </c>
      <c r="AI13" s="462">
        <v>0.67249999999999999</v>
      </c>
      <c r="AJ13" s="462">
        <v>0.72916666666666663</v>
      </c>
      <c r="AK13" s="462">
        <v>1.0458333333333332</v>
      </c>
      <c r="AL13" s="462">
        <v>0.80000000000000016</v>
      </c>
      <c r="AM13" s="462">
        <v>0.9291666666666667</v>
      </c>
    </row>
    <row r="14" spans="1:39" s="267" customFormat="1" ht="11.25" customHeight="1">
      <c r="A14" s="1540" t="s">
        <v>1392</v>
      </c>
      <c r="B14" s="576">
        <v>1.0958333333333334</v>
      </c>
      <c r="C14" s="576">
        <v>0.17250000000000001</v>
      </c>
      <c r="D14" s="576">
        <v>0</v>
      </c>
      <c r="E14" s="576">
        <v>1.2591666666666668</v>
      </c>
      <c r="F14" s="576">
        <v>0.23833333333333337</v>
      </c>
      <c r="G14" s="576">
        <v>0</v>
      </c>
      <c r="H14" s="576">
        <v>1.7641666666666664</v>
      </c>
      <c r="I14" s="576">
        <v>0.40750000000000003</v>
      </c>
      <c r="J14" s="576">
        <v>0</v>
      </c>
      <c r="K14" s="576">
        <v>1.9741666666666668</v>
      </c>
      <c r="L14" s="576">
        <v>0.56000000000000005</v>
      </c>
      <c r="M14" s="576">
        <v>0</v>
      </c>
      <c r="N14" s="1540" t="s">
        <v>1392</v>
      </c>
      <c r="O14" s="576">
        <v>0.77499999999999991</v>
      </c>
      <c r="P14" s="576">
        <v>0.30499999999999999</v>
      </c>
      <c r="Q14" s="576">
        <v>0.16999999999999996</v>
      </c>
      <c r="R14" s="576">
        <v>1.6150000000000002</v>
      </c>
      <c r="S14" s="576">
        <v>0.38666666666666671</v>
      </c>
      <c r="T14" s="576">
        <v>0.17833333333333332</v>
      </c>
      <c r="U14" s="576">
        <v>0.98749999999999993</v>
      </c>
      <c r="V14" s="576">
        <v>0.5083333333333333</v>
      </c>
      <c r="W14" s="576">
        <v>0.24583333333333335</v>
      </c>
      <c r="X14" s="576">
        <v>1.0891666666666666</v>
      </c>
      <c r="Y14" s="576">
        <v>0.57500000000000007</v>
      </c>
      <c r="Z14" s="576">
        <v>0.31749999999999995</v>
      </c>
      <c r="AA14" s="1540" t="s">
        <v>1392</v>
      </c>
      <c r="AB14" s="576">
        <v>0.87833333333333341</v>
      </c>
      <c r="AC14" s="576">
        <v>0.53999999999999992</v>
      </c>
      <c r="AD14" s="576">
        <v>0.52083333333333337</v>
      </c>
      <c r="AE14" s="576">
        <v>0.79499999999999993</v>
      </c>
      <c r="AF14" s="576">
        <v>0.58083333333333342</v>
      </c>
      <c r="AG14" s="576">
        <v>0.38999999999999996</v>
      </c>
      <c r="AH14" s="576">
        <v>0.85083333333333322</v>
      </c>
      <c r="AI14" s="576">
        <v>0.66500000000000004</v>
      </c>
      <c r="AJ14" s="576">
        <v>0.57250000000000012</v>
      </c>
      <c r="AK14" s="576">
        <v>1.1216666666666666</v>
      </c>
      <c r="AL14" s="576">
        <v>0.76499999999999979</v>
      </c>
      <c r="AM14" s="576">
        <v>0.72166666666666668</v>
      </c>
    </row>
    <row r="15" spans="1:39" s="267" customFormat="1" ht="11.25" customHeight="1">
      <c r="A15" s="1541" t="s">
        <v>1511</v>
      </c>
      <c r="B15" s="462">
        <v>1.7266666666666666</v>
      </c>
      <c r="C15" s="462">
        <v>0.41750000000000004</v>
      </c>
      <c r="D15" s="462">
        <v>0</v>
      </c>
      <c r="E15" s="462">
        <v>1.8933333333333333</v>
      </c>
      <c r="F15" s="462">
        <v>0.51500000000000001</v>
      </c>
      <c r="G15" s="462">
        <v>0</v>
      </c>
      <c r="H15" s="462">
        <v>2.4766666666666661</v>
      </c>
      <c r="I15" s="462">
        <v>0.75499999999999989</v>
      </c>
      <c r="J15" s="462">
        <v>0</v>
      </c>
      <c r="K15" s="462">
        <v>2.6724999999999999</v>
      </c>
      <c r="L15" s="462">
        <v>0.89916666666666678</v>
      </c>
      <c r="M15" s="462">
        <v>0</v>
      </c>
      <c r="N15" s="1541" t="s">
        <v>1511</v>
      </c>
      <c r="O15" s="462">
        <v>1.3325</v>
      </c>
      <c r="P15" s="462">
        <v>0.35666666666666669</v>
      </c>
      <c r="Q15" s="462">
        <v>0.16249999999999998</v>
      </c>
      <c r="R15" s="462">
        <v>1.6400000000000003</v>
      </c>
      <c r="S15" s="462">
        <v>0.52083333333333337</v>
      </c>
      <c r="T15" s="462">
        <v>0.16749999999999998</v>
      </c>
      <c r="U15" s="462">
        <v>1.5008333333333335</v>
      </c>
      <c r="V15" s="462">
        <v>0.56500000000000006</v>
      </c>
      <c r="W15" s="462">
        <v>0.23916666666666667</v>
      </c>
      <c r="X15" s="462">
        <v>1.6074999999999999</v>
      </c>
      <c r="Y15" s="462">
        <v>0.69249999999999989</v>
      </c>
      <c r="Z15" s="462">
        <v>0.3116666666666667</v>
      </c>
      <c r="AA15" s="1541" t="s">
        <v>1511</v>
      </c>
      <c r="AB15" s="462">
        <v>1.0008333333333332</v>
      </c>
      <c r="AC15" s="462">
        <v>0.60750000000000004</v>
      </c>
      <c r="AD15" s="462">
        <v>0.54666666666666675</v>
      </c>
      <c r="AE15" s="462">
        <v>0.80083333333333329</v>
      </c>
      <c r="AF15" s="462">
        <v>0.63749999999999996</v>
      </c>
      <c r="AG15" s="462">
        <v>0.36333333333333334</v>
      </c>
      <c r="AH15" s="462">
        <v>1.0150000000000001</v>
      </c>
      <c r="AI15" s="462">
        <v>0.76250000000000007</v>
      </c>
      <c r="AJ15" s="462">
        <v>0.53000000000000014</v>
      </c>
      <c r="AK15" s="462">
        <v>1.280833333333333</v>
      </c>
      <c r="AL15" s="462">
        <v>0.83916666666666673</v>
      </c>
      <c r="AM15" s="462">
        <v>0.70000000000000007</v>
      </c>
    </row>
    <row r="16" spans="1:39" s="267" customFormat="1" ht="11.25" customHeight="1">
      <c r="A16" s="561" t="s">
        <v>1602</v>
      </c>
      <c r="B16" s="576">
        <v>1.2866666666666668</v>
      </c>
      <c r="C16" s="576">
        <v>0.34249999999999997</v>
      </c>
      <c r="D16" s="576">
        <v>0</v>
      </c>
      <c r="E16" s="576">
        <v>1.1883333333333332</v>
      </c>
      <c r="F16" s="576">
        <v>0.41916666666666669</v>
      </c>
      <c r="G16" s="576">
        <v>0</v>
      </c>
      <c r="H16" s="576">
        <v>1.4416666666666667</v>
      </c>
      <c r="I16" s="576">
        <v>0.5675</v>
      </c>
      <c r="J16" s="576">
        <v>0</v>
      </c>
      <c r="K16" s="576">
        <v>1.47</v>
      </c>
      <c r="L16" s="576">
        <v>0.66416666666666668</v>
      </c>
      <c r="M16" s="576">
        <v>0</v>
      </c>
      <c r="N16" s="561" t="s">
        <v>1602</v>
      </c>
      <c r="O16" s="576">
        <v>1.0566666666666669</v>
      </c>
      <c r="P16" s="576">
        <v>0.40333333333333338</v>
      </c>
      <c r="Q16" s="576">
        <v>0.22333333333333336</v>
      </c>
      <c r="R16" s="576">
        <v>1.1266666666666667</v>
      </c>
      <c r="S16" s="576">
        <v>0.55666666666666675</v>
      </c>
      <c r="T16" s="576">
        <v>0.19249999999999998</v>
      </c>
      <c r="U16" s="576">
        <v>1.1741666666666668</v>
      </c>
      <c r="V16" s="576">
        <v>0.53500000000000003</v>
      </c>
      <c r="W16" s="576">
        <v>0.255</v>
      </c>
      <c r="X16" s="576">
        <v>1.3241666666666667</v>
      </c>
      <c r="Y16" s="576">
        <v>0.6991666666666666</v>
      </c>
      <c r="Z16" s="576">
        <v>0.32</v>
      </c>
      <c r="AA16" s="561" t="s">
        <v>1602</v>
      </c>
      <c r="AB16" s="576">
        <v>0.82250000000000012</v>
      </c>
      <c r="AC16" s="576">
        <v>0.4941666666666667</v>
      </c>
      <c r="AD16" s="576">
        <v>0.52750000000000008</v>
      </c>
      <c r="AE16" s="576">
        <v>0.93583333333333352</v>
      </c>
      <c r="AF16" s="576">
        <v>0.6349999999999999</v>
      </c>
      <c r="AG16" s="576">
        <v>0.37916666666666671</v>
      </c>
      <c r="AH16" s="576">
        <v>0.9291666666666667</v>
      </c>
      <c r="AI16" s="576">
        <v>0.80750000000000011</v>
      </c>
      <c r="AJ16" s="576">
        <v>0.56666666666666676</v>
      </c>
      <c r="AK16" s="576">
        <v>1.1291666666666667</v>
      </c>
      <c r="AL16" s="576">
        <v>0.81083333333333341</v>
      </c>
      <c r="AM16" s="576">
        <v>0.75</v>
      </c>
    </row>
    <row r="17" spans="1:39" s="267" customFormat="1" ht="11.25" customHeight="1">
      <c r="A17" s="640" t="s">
        <v>1668</v>
      </c>
      <c r="B17" s="641">
        <v>0.13500000000000004</v>
      </c>
      <c r="C17" s="641">
        <v>5.2500000000000012E-2</v>
      </c>
      <c r="D17" s="641">
        <v>0</v>
      </c>
      <c r="E17" s="641">
        <v>0.18333333333333332</v>
      </c>
      <c r="F17" s="641">
        <v>7.4166666666666672E-2</v>
      </c>
      <c r="G17" s="641">
        <v>0</v>
      </c>
      <c r="H17" s="641">
        <v>0.18833333333333332</v>
      </c>
      <c r="I17" s="641">
        <v>0.10000000000000002</v>
      </c>
      <c r="J17" s="641">
        <v>0</v>
      </c>
      <c r="K17" s="641">
        <v>0.22583333333333333</v>
      </c>
      <c r="L17" s="641">
        <v>0.15250000000000002</v>
      </c>
      <c r="M17" s="641">
        <v>0</v>
      </c>
      <c r="N17" s="640" t="s">
        <v>1668</v>
      </c>
      <c r="O17" s="641">
        <v>0.27916666666666662</v>
      </c>
      <c r="P17" s="641">
        <v>0.12083333333333336</v>
      </c>
      <c r="Q17" s="641">
        <v>8.2500000000000018E-2</v>
      </c>
      <c r="R17" s="641">
        <v>0.46666666666666673</v>
      </c>
      <c r="S17" s="641">
        <v>0.27333333333333337</v>
      </c>
      <c r="T17" s="641">
        <v>0.14833333333333332</v>
      </c>
      <c r="U17" s="641">
        <v>0.46333333333333321</v>
      </c>
      <c r="V17" s="641">
        <v>0.31583333333333335</v>
      </c>
      <c r="W17" s="641">
        <v>0.22916666666666663</v>
      </c>
      <c r="X17" s="641">
        <v>0.69916666666666671</v>
      </c>
      <c r="Y17" s="641">
        <v>0.49</v>
      </c>
      <c r="Z17" s="641">
        <v>0.32</v>
      </c>
      <c r="AA17" s="640" t="s">
        <v>1668</v>
      </c>
      <c r="AB17" s="641">
        <v>0.48583333333333334</v>
      </c>
      <c r="AC17" s="641">
        <v>0.38250000000000001</v>
      </c>
      <c r="AD17" s="641">
        <v>0.54333333333333333</v>
      </c>
      <c r="AE17" s="641">
        <v>0.75083333333333346</v>
      </c>
      <c r="AF17" s="641">
        <v>0.46249999999999997</v>
      </c>
      <c r="AG17" s="641">
        <v>0.46249999999999997</v>
      </c>
      <c r="AH17" s="641">
        <v>0.57999999999999996</v>
      </c>
      <c r="AI17" s="641">
        <v>0.71999999999999986</v>
      </c>
      <c r="AJ17" s="641">
        <v>0.69499999999999995</v>
      </c>
      <c r="AK17" s="641">
        <v>0.6758333333333334</v>
      </c>
      <c r="AL17" s="641">
        <v>0.69750000000000012</v>
      </c>
      <c r="AM17" s="641">
        <v>0.92499999999999993</v>
      </c>
    </row>
    <row r="18" spans="1:39" s="267" customFormat="1" ht="11.25" customHeight="1">
      <c r="A18" s="588" t="s">
        <v>2018</v>
      </c>
      <c r="B18" s="569">
        <f>AVERAGE(B19:B30)</f>
        <v>0.22071041666666669</v>
      </c>
      <c r="C18" s="569">
        <f t="shared" ref="C18:M18" si="0">AVERAGE(C19:C30)</f>
        <v>0.26952083333333332</v>
      </c>
      <c r="D18" s="569">
        <f t="shared" si="0"/>
        <v>0</v>
      </c>
      <c r="E18" s="569">
        <f t="shared" si="0"/>
        <v>0.38450166666666669</v>
      </c>
      <c r="F18" s="569">
        <f t="shared" si="0"/>
        <v>0.39549374999999998</v>
      </c>
      <c r="G18" s="569">
        <f t="shared" si="0"/>
        <v>0</v>
      </c>
      <c r="H18" s="569">
        <f t="shared" si="0"/>
        <v>0.63203125000000004</v>
      </c>
      <c r="I18" s="569">
        <f t="shared" si="0"/>
        <v>0.67972916666666672</v>
      </c>
      <c r="J18" s="569">
        <f t="shared" si="0"/>
        <v>0</v>
      </c>
      <c r="K18" s="569">
        <f t="shared" si="0"/>
        <v>0.89655624999999983</v>
      </c>
      <c r="L18" s="569">
        <f t="shared" si="0"/>
        <v>0.42794375000000001</v>
      </c>
      <c r="M18" s="569">
        <f t="shared" si="0"/>
        <v>0</v>
      </c>
      <c r="N18" s="588" t="s">
        <v>2018</v>
      </c>
      <c r="O18" s="569">
        <f t="shared" ref="O18:Z18" si="1">AVERAGE(O19:O30)</f>
        <v>0.31532734749455343</v>
      </c>
      <c r="P18" s="569">
        <f t="shared" si="1"/>
        <v>0.20017037878787883</v>
      </c>
      <c r="Q18" s="569">
        <f t="shared" si="1"/>
        <v>3.4999999999999996E-2</v>
      </c>
      <c r="R18" s="569">
        <f t="shared" si="1"/>
        <v>0.53182662782364398</v>
      </c>
      <c r="S18" s="569">
        <f t="shared" si="1"/>
        <v>0.31519323717948705</v>
      </c>
      <c r="T18" s="569">
        <f t="shared" si="1"/>
        <v>0.11994444444444451</v>
      </c>
      <c r="U18" s="569">
        <f t="shared" si="1"/>
        <v>0.57585807870370376</v>
      </c>
      <c r="V18" s="569">
        <f t="shared" si="1"/>
        <v>0.43620674464424458</v>
      </c>
      <c r="W18" s="569">
        <f t="shared" si="1"/>
        <v>0.18409722222222216</v>
      </c>
      <c r="X18" s="569">
        <f t="shared" si="1"/>
        <v>0.79956950202815014</v>
      </c>
      <c r="Y18" s="569">
        <f t="shared" si="1"/>
        <v>0.44954711182336188</v>
      </c>
      <c r="Z18" s="569">
        <f t="shared" si="1"/>
        <v>0.255</v>
      </c>
      <c r="AA18" s="588" t="s">
        <v>2018</v>
      </c>
      <c r="AB18" s="569">
        <f t="shared" ref="AB18:AM18" si="2">AVERAGE(AB19:AB30)</f>
        <v>0.42428055555555561</v>
      </c>
      <c r="AC18" s="569">
        <f t="shared" si="2"/>
        <v>0.38284583333333333</v>
      </c>
      <c r="AD18" s="569">
        <f t="shared" si="2"/>
        <v>0.53999999999999992</v>
      </c>
      <c r="AE18" s="569">
        <f t="shared" si="2"/>
        <v>0.53083791666666669</v>
      </c>
      <c r="AF18" s="569">
        <f t="shared" si="2"/>
        <v>0.47707499999999992</v>
      </c>
      <c r="AG18" s="569">
        <f t="shared" si="2"/>
        <v>0.5</v>
      </c>
      <c r="AH18" s="569">
        <f t="shared" si="2"/>
        <v>0.51206458333333338</v>
      </c>
      <c r="AI18" s="569">
        <f t="shared" si="2"/>
        <v>0.64387083333333328</v>
      </c>
      <c r="AJ18" s="569">
        <f t="shared" si="2"/>
        <v>0.75</v>
      </c>
      <c r="AK18" s="569">
        <f t="shared" si="2"/>
        <v>0.57374375000000011</v>
      </c>
      <c r="AL18" s="569">
        <f t="shared" si="2"/>
        <v>0.71373333333333344</v>
      </c>
      <c r="AM18" s="569">
        <f t="shared" si="2"/>
        <v>1</v>
      </c>
    </row>
    <row r="19" spans="1:39" s="267" customFormat="1" ht="11.25" customHeight="1">
      <c r="A19" s="603" t="s">
        <v>576</v>
      </c>
      <c r="B19" s="305">
        <v>0.11</v>
      </c>
      <c r="C19" s="462">
        <v>0.06</v>
      </c>
      <c r="D19" s="462">
        <v>0</v>
      </c>
      <c r="E19" s="462">
        <v>0.13</v>
      </c>
      <c r="F19" s="462">
        <v>0.08</v>
      </c>
      <c r="G19" s="462">
        <v>0</v>
      </c>
      <c r="H19" s="462">
        <v>0.16</v>
      </c>
      <c r="I19" s="462">
        <v>0.11</v>
      </c>
      <c r="J19" s="462">
        <v>0</v>
      </c>
      <c r="K19" s="462">
        <v>0.16</v>
      </c>
      <c r="L19" s="462">
        <v>0.18</v>
      </c>
      <c r="M19" s="462">
        <v>0</v>
      </c>
      <c r="N19" s="603" t="s">
        <v>576</v>
      </c>
      <c r="O19" s="462">
        <v>0.21</v>
      </c>
      <c r="P19" s="462">
        <v>0.09</v>
      </c>
      <c r="Q19" s="462">
        <v>0.04</v>
      </c>
      <c r="R19" s="462">
        <v>0.41</v>
      </c>
      <c r="S19" s="462">
        <v>0.23</v>
      </c>
      <c r="T19" s="462">
        <v>0.14000000000000001</v>
      </c>
      <c r="U19" s="462">
        <v>0.38</v>
      </c>
      <c r="V19" s="462">
        <v>0.28999999999999998</v>
      </c>
      <c r="W19" s="462">
        <v>0.22</v>
      </c>
      <c r="X19" s="462">
        <v>0.56000000000000005</v>
      </c>
      <c r="Y19" s="462">
        <v>0.38</v>
      </c>
      <c r="Z19" s="462">
        <v>0.31</v>
      </c>
      <c r="AA19" s="603" t="s">
        <v>576</v>
      </c>
      <c r="AB19" s="462">
        <v>0.4</v>
      </c>
      <c r="AC19" s="462">
        <v>0.27</v>
      </c>
      <c r="AD19" s="462">
        <v>0.25</v>
      </c>
      <c r="AE19" s="462">
        <v>0.56000000000000005</v>
      </c>
      <c r="AF19" s="462">
        <v>0.37</v>
      </c>
      <c r="AG19" s="462">
        <v>0.5</v>
      </c>
      <c r="AH19" s="462">
        <v>0.47</v>
      </c>
      <c r="AI19" s="462">
        <v>0.57999999999999996</v>
      </c>
      <c r="AJ19" s="462">
        <v>0.75</v>
      </c>
      <c r="AK19" s="462">
        <v>0.56000000000000005</v>
      </c>
      <c r="AL19" s="462">
        <v>1</v>
      </c>
      <c r="AM19" s="462">
        <v>1</v>
      </c>
    </row>
    <row r="20" spans="1:39" s="267" customFormat="1" ht="11.25" customHeight="1">
      <c r="A20" s="561" t="s">
        <v>577</v>
      </c>
      <c r="B20" s="240">
        <v>0.09</v>
      </c>
      <c r="C20" s="576">
        <v>0.05</v>
      </c>
      <c r="D20" s="576">
        <v>0</v>
      </c>
      <c r="E20" s="576">
        <v>0.13</v>
      </c>
      <c r="F20" s="576">
        <v>0.08</v>
      </c>
      <c r="G20" s="576">
        <v>0</v>
      </c>
      <c r="H20" s="576">
        <v>0.16</v>
      </c>
      <c r="I20" s="576">
        <v>0.1</v>
      </c>
      <c r="J20" s="576">
        <v>0</v>
      </c>
      <c r="K20" s="576">
        <v>0.16</v>
      </c>
      <c r="L20" s="576">
        <v>0.19</v>
      </c>
      <c r="M20" s="576">
        <v>0</v>
      </c>
      <c r="N20" s="561" t="s">
        <v>577</v>
      </c>
      <c r="O20" s="576">
        <v>0.16</v>
      </c>
      <c r="P20" s="576">
        <v>7.0000000000000007E-2</v>
      </c>
      <c r="Q20" s="576">
        <v>0.04</v>
      </c>
      <c r="R20" s="576">
        <v>0.34</v>
      </c>
      <c r="S20" s="576">
        <v>0.16</v>
      </c>
      <c r="T20" s="576">
        <v>0.11</v>
      </c>
      <c r="U20" s="576">
        <v>0.32</v>
      </c>
      <c r="V20" s="576">
        <v>0.21</v>
      </c>
      <c r="W20" s="576">
        <v>0.17</v>
      </c>
      <c r="X20" s="576">
        <v>0.5</v>
      </c>
      <c r="Y20" s="576">
        <v>0.3</v>
      </c>
      <c r="Z20" s="576">
        <v>0.23</v>
      </c>
      <c r="AA20" s="561" t="s">
        <v>577</v>
      </c>
      <c r="AB20" s="576">
        <v>0.39</v>
      </c>
      <c r="AC20" s="576">
        <v>0.28000000000000003</v>
      </c>
      <c r="AD20" s="576">
        <v>0.56999999999999995</v>
      </c>
      <c r="AE20" s="576">
        <v>0.56000000000000005</v>
      </c>
      <c r="AF20" s="576">
        <v>0.37</v>
      </c>
      <c r="AG20" s="576">
        <v>0.5</v>
      </c>
      <c r="AH20" s="576">
        <v>0.47</v>
      </c>
      <c r="AI20" s="576">
        <v>0.56000000000000005</v>
      </c>
      <c r="AJ20" s="576">
        <v>0.75</v>
      </c>
      <c r="AK20" s="576">
        <v>0.56000000000000005</v>
      </c>
      <c r="AL20" s="576">
        <v>1</v>
      </c>
      <c r="AM20" s="576">
        <v>1</v>
      </c>
    </row>
    <row r="21" spans="1:39" s="267" customFormat="1" ht="11.25" customHeight="1">
      <c r="A21" s="603" t="s">
        <v>571</v>
      </c>
      <c r="B21" s="305">
        <v>0.09</v>
      </c>
      <c r="C21" s="462">
        <v>0.05</v>
      </c>
      <c r="D21" s="462">
        <v>0</v>
      </c>
      <c r="E21" s="462">
        <v>0.12</v>
      </c>
      <c r="F21" s="462">
        <v>7.0000000000000007E-2</v>
      </c>
      <c r="G21" s="462">
        <v>0</v>
      </c>
      <c r="H21" s="462">
        <v>0.15</v>
      </c>
      <c r="I21" s="462">
        <v>0.1</v>
      </c>
      <c r="J21" s="462">
        <v>0</v>
      </c>
      <c r="K21" s="462">
        <v>0.16</v>
      </c>
      <c r="L21" s="462">
        <v>0.22</v>
      </c>
      <c r="M21" s="462">
        <v>0</v>
      </c>
      <c r="N21" s="603" t="s">
        <v>571</v>
      </c>
      <c r="O21" s="462">
        <v>0.21</v>
      </c>
      <c r="P21" s="462">
        <v>7.0000000000000007E-2</v>
      </c>
      <c r="Q21" s="462">
        <v>0.04</v>
      </c>
      <c r="R21" s="462">
        <v>0.41</v>
      </c>
      <c r="S21" s="462">
        <v>0.22</v>
      </c>
      <c r="T21" s="462">
        <v>0.14000000000000001</v>
      </c>
      <c r="U21" s="462">
        <v>0.39</v>
      </c>
      <c r="V21" s="462">
        <v>0.31</v>
      </c>
      <c r="W21" s="462">
        <v>0.22</v>
      </c>
      <c r="X21" s="462">
        <v>0.57999999999999996</v>
      </c>
      <c r="Y21" s="462">
        <v>0.4</v>
      </c>
      <c r="Z21" s="462">
        <v>0.31</v>
      </c>
      <c r="AA21" s="603" t="s">
        <v>571</v>
      </c>
      <c r="AB21" s="462">
        <v>0.41</v>
      </c>
      <c r="AC21" s="462">
        <v>0.27</v>
      </c>
      <c r="AD21" s="462">
        <v>0.56999999999999995</v>
      </c>
      <c r="AE21" s="462">
        <v>0.37</v>
      </c>
      <c r="AF21" s="462">
        <v>0.37</v>
      </c>
      <c r="AG21" s="462">
        <v>0.5</v>
      </c>
      <c r="AH21" s="462">
        <v>0.47</v>
      </c>
      <c r="AI21" s="462">
        <v>0.56999999999999995</v>
      </c>
      <c r="AJ21" s="462">
        <v>0.75</v>
      </c>
      <c r="AK21" s="462">
        <v>0.55000000000000004</v>
      </c>
      <c r="AL21" s="462">
        <v>0.66</v>
      </c>
      <c r="AM21" s="462">
        <v>1</v>
      </c>
    </row>
    <row r="22" spans="1:39" s="267" customFormat="1" ht="11.25" customHeight="1">
      <c r="A22" s="561" t="s">
        <v>578</v>
      </c>
      <c r="B22" s="240">
        <v>0.08</v>
      </c>
      <c r="C22" s="576">
        <v>0.06</v>
      </c>
      <c r="D22" s="576">
        <v>0</v>
      </c>
      <c r="E22" s="576">
        <v>0.12</v>
      </c>
      <c r="F22" s="576">
        <v>0.1</v>
      </c>
      <c r="G22" s="576">
        <v>0</v>
      </c>
      <c r="H22" s="576">
        <v>0.15</v>
      </c>
      <c r="I22" s="576">
        <v>0.14000000000000001</v>
      </c>
      <c r="J22" s="576">
        <v>0</v>
      </c>
      <c r="K22" s="576">
        <v>0.15</v>
      </c>
      <c r="L22" s="576">
        <v>0.37</v>
      </c>
      <c r="M22" s="576">
        <v>0</v>
      </c>
      <c r="N22" s="561" t="s">
        <v>578</v>
      </c>
      <c r="O22" s="576">
        <v>0.25</v>
      </c>
      <c r="P22" s="576">
        <v>0.09</v>
      </c>
      <c r="Q22" s="576">
        <v>0.01</v>
      </c>
      <c r="R22" s="576">
        <v>0.36</v>
      </c>
      <c r="S22" s="576">
        <v>0.2</v>
      </c>
      <c r="T22" s="576">
        <v>0.11</v>
      </c>
      <c r="U22" s="576">
        <v>0.34</v>
      </c>
      <c r="V22" s="576">
        <v>0.28999999999999998</v>
      </c>
      <c r="W22" s="576">
        <v>0.16</v>
      </c>
      <c r="X22" s="576">
        <v>0.55000000000000004</v>
      </c>
      <c r="Y22" s="576">
        <v>0.45</v>
      </c>
      <c r="Z22" s="576">
        <v>0.21</v>
      </c>
      <c r="AA22" s="561" t="s">
        <v>578</v>
      </c>
      <c r="AB22" s="576">
        <v>0.39</v>
      </c>
      <c r="AC22" s="576">
        <v>0.3</v>
      </c>
      <c r="AD22" s="576">
        <v>0.56999999999999995</v>
      </c>
      <c r="AE22" s="576">
        <v>0.56999999999999995</v>
      </c>
      <c r="AF22" s="576">
        <v>0.36</v>
      </c>
      <c r="AG22" s="576">
        <v>0.5</v>
      </c>
      <c r="AH22" s="576">
        <v>0.55000000000000004</v>
      </c>
      <c r="AI22" s="576">
        <v>0.56999999999999995</v>
      </c>
      <c r="AJ22" s="576">
        <v>0.75</v>
      </c>
      <c r="AK22" s="576">
        <v>0.55000000000000004</v>
      </c>
      <c r="AL22" s="576">
        <v>0.66</v>
      </c>
      <c r="AM22" s="576">
        <v>1</v>
      </c>
    </row>
    <row r="23" spans="1:39" s="267" customFormat="1" ht="11.25" customHeight="1">
      <c r="A23" s="603" t="s">
        <v>579</v>
      </c>
      <c r="B23" s="305">
        <v>8.9550000000000005E-2</v>
      </c>
      <c r="C23" s="462">
        <v>9.6750000000000003E-2</v>
      </c>
      <c r="D23" s="462">
        <v>0</v>
      </c>
      <c r="E23" s="462">
        <v>0.13735</v>
      </c>
      <c r="F23" s="462">
        <v>0.1623</v>
      </c>
      <c r="G23" s="462">
        <v>0</v>
      </c>
      <c r="H23" s="462">
        <v>0.18634999999999999</v>
      </c>
      <c r="I23" s="462">
        <v>0.20599999999999999</v>
      </c>
      <c r="J23" s="462">
        <v>0</v>
      </c>
      <c r="K23" s="462">
        <v>0.236675</v>
      </c>
      <c r="L23" s="462">
        <v>0.54032500000000006</v>
      </c>
      <c r="M23" s="462">
        <v>0</v>
      </c>
      <c r="N23" s="603" t="s">
        <v>579</v>
      </c>
      <c r="O23" s="462">
        <v>0.27996666666666697</v>
      </c>
      <c r="P23" s="462">
        <v>0.15809999999999999</v>
      </c>
      <c r="Q23" s="462">
        <v>0.01</v>
      </c>
      <c r="R23" s="462">
        <v>0.45945000000000003</v>
      </c>
      <c r="S23" s="462">
        <v>0.21914</v>
      </c>
      <c r="T23" s="462">
        <v>0.11749999999999999</v>
      </c>
      <c r="U23" s="462">
        <v>0.44436249999999999</v>
      </c>
      <c r="V23" s="462">
        <v>0.30022727272727301</v>
      </c>
      <c r="W23" s="462">
        <v>0.20624999999999999</v>
      </c>
      <c r="X23" s="462">
        <v>0.65970625000000005</v>
      </c>
      <c r="Y23" s="462">
        <v>0.47023999999999999</v>
      </c>
      <c r="Z23" s="462">
        <v>0.29375000000000001</v>
      </c>
      <c r="AA23" s="603" t="s">
        <v>579</v>
      </c>
      <c r="AB23" s="462">
        <v>0.38500000000000001</v>
      </c>
      <c r="AC23" s="462">
        <v>0.26640000000000003</v>
      </c>
      <c r="AD23" s="462">
        <v>0.56499999999999995</v>
      </c>
      <c r="AE23" s="462">
        <v>0.57069999999999999</v>
      </c>
      <c r="AF23" s="462">
        <v>0.36203333333333299</v>
      </c>
      <c r="AG23" s="462">
        <v>0.5</v>
      </c>
      <c r="AH23" s="462">
        <v>0.46752500000000002</v>
      </c>
      <c r="AI23" s="462">
        <v>0.56999999999999995</v>
      </c>
      <c r="AJ23" s="462">
        <v>0.75</v>
      </c>
      <c r="AK23" s="462">
        <v>0.55259999999999998</v>
      </c>
      <c r="AL23" s="462">
        <v>0.66064999999999996</v>
      </c>
      <c r="AM23" s="462">
        <v>1</v>
      </c>
    </row>
    <row r="24" spans="1:39" s="267" customFormat="1" ht="11.25" customHeight="1">
      <c r="A24" s="561" t="s">
        <v>572</v>
      </c>
      <c r="B24" s="240">
        <v>9.4E-2</v>
      </c>
      <c r="C24" s="576">
        <v>0.1149</v>
      </c>
      <c r="D24" s="576">
        <v>0</v>
      </c>
      <c r="E24" s="576">
        <v>0.17624999999999999</v>
      </c>
      <c r="F24" s="576">
        <v>0.14369999999999999</v>
      </c>
      <c r="G24" s="576">
        <v>0</v>
      </c>
      <c r="H24" s="576">
        <v>0.15682499999999999</v>
      </c>
      <c r="I24" s="576">
        <v>0.239125</v>
      </c>
      <c r="J24" s="576">
        <v>0</v>
      </c>
      <c r="K24" s="576">
        <v>0.343725</v>
      </c>
      <c r="L24" s="576">
        <v>0.58855000000000002</v>
      </c>
      <c r="M24" s="576">
        <v>0</v>
      </c>
      <c r="N24" s="561" t="s">
        <v>572</v>
      </c>
      <c r="O24" s="576">
        <v>0.26281764705882399</v>
      </c>
      <c r="P24" s="576">
        <v>0.138672727272727</v>
      </c>
      <c r="Q24" s="576">
        <v>0.04</v>
      </c>
      <c r="R24" s="576">
        <v>0.43003157894736799</v>
      </c>
      <c r="S24" s="576">
        <v>0.27565384615384603</v>
      </c>
      <c r="T24" s="576">
        <v>0.13666666666666699</v>
      </c>
      <c r="U24" s="576">
        <v>0.44123157894736798</v>
      </c>
      <c r="V24" s="576">
        <v>0.38174999999999998</v>
      </c>
      <c r="W24" s="576">
        <v>0.22083333333333299</v>
      </c>
      <c r="X24" s="576">
        <v>0.67430000000000001</v>
      </c>
      <c r="Y24" s="576">
        <v>0.588169230769231</v>
      </c>
      <c r="Z24" s="576">
        <v>0.3125</v>
      </c>
      <c r="AA24" s="561" t="s">
        <v>572</v>
      </c>
      <c r="AB24" s="576">
        <v>0.41060000000000002</v>
      </c>
      <c r="AC24" s="576">
        <v>0.29399999999999998</v>
      </c>
      <c r="AD24" s="576">
        <v>0.56499999999999995</v>
      </c>
      <c r="AE24" s="576">
        <v>0.392175</v>
      </c>
      <c r="AF24" s="576">
        <v>0.36803333333333299</v>
      </c>
      <c r="AG24" s="576">
        <v>0.5</v>
      </c>
      <c r="AH24" s="576">
        <v>0.46667500000000001</v>
      </c>
      <c r="AI24" s="576">
        <v>0.85</v>
      </c>
      <c r="AJ24" s="576">
        <v>0.75</v>
      </c>
      <c r="AK24" s="576">
        <v>0.55452500000000005</v>
      </c>
      <c r="AL24" s="576">
        <v>0.66049999999999998</v>
      </c>
      <c r="AM24" s="576">
        <v>1</v>
      </c>
    </row>
    <row r="25" spans="1:39" s="267" customFormat="1" ht="11.25" customHeight="1">
      <c r="A25" s="603" t="s">
        <v>580</v>
      </c>
      <c r="B25" s="305">
        <v>0.10100000000000001</v>
      </c>
      <c r="C25" s="462">
        <v>9.64E-2</v>
      </c>
      <c r="D25" s="462">
        <v>0</v>
      </c>
      <c r="E25" s="462">
        <v>0.21235000000000001</v>
      </c>
      <c r="F25" s="462">
        <v>0.17017499999999999</v>
      </c>
      <c r="G25" s="462">
        <v>0</v>
      </c>
      <c r="H25" s="462">
        <v>0.22900000000000001</v>
      </c>
      <c r="I25" s="462">
        <v>0.490925</v>
      </c>
      <c r="J25" s="462">
        <v>0</v>
      </c>
      <c r="K25" s="462">
        <v>0.49569999999999997</v>
      </c>
      <c r="L25" s="462">
        <v>0.48644999999999999</v>
      </c>
      <c r="M25" s="462">
        <v>0</v>
      </c>
      <c r="N25" s="603" t="s">
        <v>580</v>
      </c>
      <c r="O25" s="462">
        <v>0.23388666666666699</v>
      </c>
      <c r="P25" s="462">
        <v>0.15594</v>
      </c>
      <c r="Q25" s="462">
        <v>0.04</v>
      </c>
      <c r="R25" s="462">
        <v>0.41798823529411799</v>
      </c>
      <c r="S25" s="462">
        <v>0.28556153846153798</v>
      </c>
      <c r="T25" s="462">
        <v>0.114</v>
      </c>
      <c r="U25" s="462">
        <v>0.438838888888889</v>
      </c>
      <c r="V25" s="462">
        <v>0.43823846153846202</v>
      </c>
      <c r="W25" s="462">
        <v>0.16500000000000001</v>
      </c>
      <c r="X25" s="462">
        <v>0.70265555555555503</v>
      </c>
      <c r="Y25" s="462">
        <v>0.38536999999999999</v>
      </c>
      <c r="Z25" s="462">
        <v>0.22500000000000001</v>
      </c>
      <c r="AA25" s="603" t="s">
        <v>580</v>
      </c>
      <c r="AB25" s="462">
        <v>0.39860000000000001</v>
      </c>
      <c r="AC25" s="462">
        <v>0.35875000000000001</v>
      </c>
      <c r="AD25" s="462">
        <v>0.56499999999999995</v>
      </c>
      <c r="AE25" s="462">
        <v>0.607325</v>
      </c>
      <c r="AF25" s="462">
        <v>0.3775</v>
      </c>
      <c r="AG25" s="462">
        <v>0.5</v>
      </c>
      <c r="AH25" s="462">
        <v>0.48035</v>
      </c>
      <c r="AI25" s="462">
        <v>0.85</v>
      </c>
      <c r="AJ25" s="462">
        <v>0.75</v>
      </c>
      <c r="AK25" s="462">
        <v>0.55600000000000005</v>
      </c>
      <c r="AL25" s="462">
        <v>0.6573</v>
      </c>
      <c r="AM25" s="462">
        <v>1</v>
      </c>
    </row>
    <row r="26" spans="1:39" s="267" customFormat="1" ht="11.25" customHeight="1">
      <c r="A26" s="561" t="s">
        <v>581</v>
      </c>
      <c r="B26" s="240">
        <v>0.1115</v>
      </c>
      <c r="C26" s="576">
        <v>0.24276</v>
      </c>
      <c r="D26" s="576">
        <v>0</v>
      </c>
      <c r="E26" s="576">
        <v>0.17782000000000001</v>
      </c>
      <c r="F26" s="576">
        <v>0.46548</v>
      </c>
      <c r="G26" s="576">
        <v>0</v>
      </c>
      <c r="H26" s="576">
        <v>0.46667500000000001</v>
      </c>
      <c r="I26" s="576">
        <v>0.86292500000000005</v>
      </c>
      <c r="J26" s="576">
        <v>0</v>
      </c>
      <c r="K26" s="576">
        <v>0.777725</v>
      </c>
      <c r="L26" s="576">
        <v>0.82</v>
      </c>
      <c r="M26" s="576">
        <v>0</v>
      </c>
      <c r="N26" s="561" t="s">
        <v>581</v>
      </c>
      <c r="O26" s="576">
        <v>0.232482352941176</v>
      </c>
      <c r="P26" s="576">
        <v>0.17494545454545499</v>
      </c>
      <c r="Q26" s="576">
        <v>0.04</v>
      </c>
      <c r="R26" s="576">
        <v>0.42526315789473701</v>
      </c>
      <c r="S26" s="576">
        <v>0.29676923076923101</v>
      </c>
      <c r="T26" s="576">
        <v>0.114</v>
      </c>
      <c r="U26" s="576">
        <v>0.482368421052632</v>
      </c>
      <c r="V26" s="576">
        <v>0.45330769230769202</v>
      </c>
      <c r="W26" s="576">
        <v>0.16500000000000001</v>
      </c>
      <c r="X26" s="576">
        <v>0.80079999999999996</v>
      </c>
      <c r="Y26" s="576">
        <v>0.45123999999999997</v>
      </c>
      <c r="Z26" s="576">
        <v>0.22500000000000001</v>
      </c>
      <c r="AA26" s="561" t="s">
        <v>581</v>
      </c>
      <c r="AB26" s="576">
        <v>0.37616666666666698</v>
      </c>
      <c r="AC26" s="576">
        <v>0.37</v>
      </c>
      <c r="AD26" s="576">
        <v>0.56499999999999995</v>
      </c>
      <c r="AE26" s="576">
        <v>0.54046000000000005</v>
      </c>
      <c r="AF26" s="576">
        <v>0.58455000000000001</v>
      </c>
      <c r="AG26" s="576">
        <v>0.5</v>
      </c>
      <c r="AH26" s="576">
        <v>0.478875</v>
      </c>
      <c r="AI26" s="576">
        <v>0.85</v>
      </c>
      <c r="AJ26" s="576">
        <v>0.75</v>
      </c>
      <c r="AK26" s="576">
        <v>0.55257500000000004</v>
      </c>
      <c r="AL26" s="576">
        <v>0.65959999999999996</v>
      </c>
      <c r="AM26" s="576">
        <v>1</v>
      </c>
    </row>
    <row r="27" spans="1:39" s="267" customFormat="1" ht="11.25" customHeight="1">
      <c r="A27" s="603" t="s">
        <v>573</v>
      </c>
      <c r="B27" s="305">
        <v>0.1479</v>
      </c>
      <c r="C27" s="462">
        <v>0.37052000000000002</v>
      </c>
      <c r="D27" s="462">
        <v>0</v>
      </c>
      <c r="E27" s="462">
        <v>0.34266000000000002</v>
      </c>
      <c r="F27" s="462">
        <v>0.60440000000000005</v>
      </c>
      <c r="G27" s="462">
        <v>0</v>
      </c>
      <c r="H27" s="462">
        <v>0.71717500000000001</v>
      </c>
      <c r="I27" s="462">
        <v>1.2081500000000001</v>
      </c>
      <c r="J27" s="462">
        <v>0</v>
      </c>
      <c r="K27" s="462">
        <v>1.0635250000000001</v>
      </c>
      <c r="L27" s="462">
        <v>0</v>
      </c>
      <c r="M27" s="462">
        <v>0</v>
      </c>
      <c r="N27" s="603" t="s">
        <v>573</v>
      </c>
      <c r="O27" s="462">
        <v>0.35490555555555597</v>
      </c>
      <c r="P27" s="462">
        <v>0.25483636363636403</v>
      </c>
      <c r="Q27" s="462">
        <v>0.04</v>
      </c>
      <c r="R27" s="462">
        <v>0.64100500000000005</v>
      </c>
      <c r="S27" s="462">
        <v>0.43114999999999998</v>
      </c>
      <c r="T27" s="462">
        <v>0.13666666666666699</v>
      </c>
      <c r="U27" s="462">
        <v>0.71906499999999995</v>
      </c>
      <c r="V27" s="462">
        <v>0.541585714285714</v>
      </c>
      <c r="W27" s="462">
        <v>0.22083333333333299</v>
      </c>
      <c r="X27" s="462">
        <v>1.0511200000000001</v>
      </c>
      <c r="Y27" s="462">
        <v>0.52905999999999997</v>
      </c>
      <c r="Z27" s="462">
        <v>0.3125</v>
      </c>
      <c r="AA27" s="603" t="s">
        <v>573</v>
      </c>
      <c r="AB27" s="462">
        <v>0.41666666666666702</v>
      </c>
      <c r="AC27" s="462">
        <v>0.46500000000000002</v>
      </c>
      <c r="AD27" s="462">
        <v>0.56499999999999995</v>
      </c>
      <c r="AE27" s="462">
        <v>0.54532000000000003</v>
      </c>
      <c r="AF27" s="462">
        <v>0.58455000000000001</v>
      </c>
      <c r="AG27" s="462">
        <v>0.5</v>
      </c>
      <c r="AH27" s="462">
        <v>0.48325000000000001</v>
      </c>
      <c r="AI27" s="462">
        <v>0.58220000000000005</v>
      </c>
      <c r="AJ27" s="462">
        <v>0.75</v>
      </c>
      <c r="AK27" s="462">
        <v>0.60289999999999999</v>
      </c>
      <c r="AL27" s="462">
        <v>0.65685000000000004</v>
      </c>
      <c r="AM27" s="462">
        <v>1</v>
      </c>
    </row>
    <row r="28" spans="1:39" s="267" customFormat="1" ht="11.25" customHeight="1">
      <c r="A28" s="561" t="s">
        <v>582</v>
      </c>
      <c r="B28" s="240">
        <v>0.338675</v>
      </c>
      <c r="C28" s="576">
        <v>0.62139999999999995</v>
      </c>
      <c r="D28" s="576">
        <v>0</v>
      </c>
      <c r="E28" s="576">
        <v>0.82245000000000001</v>
      </c>
      <c r="F28" s="576">
        <v>0.91964999999999997</v>
      </c>
      <c r="G28" s="576">
        <v>0</v>
      </c>
      <c r="H28" s="576">
        <v>1.3022750000000001</v>
      </c>
      <c r="I28" s="576">
        <v>1.35625</v>
      </c>
      <c r="J28" s="576">
        <v>0</v>
      </c>
      <c r="K28" s="576">
        <v>1.9327749999999999</v>
      </c>
      <c r="L28" s="576">
        <v>0</v>
      </c>
      <c r="M28" s="576">
        <v>0</v>
      </c>
      <c r="N28" s="561" t="s">
        <v>582</v>
      </c>
      <c r="O28" s="576">
        <v>0.41422222222222199</v>
      </c>
      <c r="P28" s="576">
        <v>0.33929999999999999</v>
      </c>
      <c r="Q28" s="576">
        <v>0.04</v>
      </c>
      <c r="R28" s="576">
        <v>0.69767894736842095</v>
      </c>
      <c r="S28" s="576">
        <v>0.45570769230769198</v>
      </c>
      <c r="T28" s="576">
        <v>0.114</v>
      </c>
      <c r="U28" s="576">
        <v>0.84509999999999996</v>
      </c>
      <c r="V28" s="576">
        <v>0.62990769230769195</v>
      </c>
      <c r="W28" s="576">
        <v>0.16500000000000001</v>
      </c>
      <c r="X28" s="576">
        <v>1.2595894736842099</v>
      </c>
      <c r="Y28" s="576">
        <v>0.448955555555556</v>
      </c>
      <c r="Z28" s="576">
        <v>0.22500000000000001</v>
      </c>
      <c r="AA28" s="561" t="s">
        <v>582</v>
      </c>
      <c r="AB28" s="576">
        <v>0.46716666666666701</v>
      </c>
      <c r="AC28" s="576">
        <v>0.53</v>
      </c>
      <c r="AD28" s="576">
        <v>0.56499999999999995</v>
      </c>
      <c r="AE28" s="576">
        <v>0.44095000000000001</v>
      </c>
      <c r="AF28" s="576">
        <v>0.63034999999999997</v>
      </c>
      <c r="AG28" s="576">
        <v>0.5</v>
      </c>
      <c r="AH28" s="576">
        <v>0.58404999999999996</v>
      </c>
      <c r="AI28" s="576">
        <v>0.58040000000000003</v>
      </c>
      <c r="AJ28" s="576">
        <v>0.75</v>
      </c>
      <c r="AK28" s="576">
        <v>0.61285000000000001</v>
      </c>
      <c r="AL28" s="576">
        <v>0.65995000000000004</v>
      </c>
      <c r="AM28" s="576">
        <v>1</v>
      </c>
    </row>
    <row r="29" spans="1:39" s="267" customFormat="1" ht="11.25" customHeight="1">
      <c r="A29" s="603" t="s">
        <v>583</v>
      </c>
      <c r="B29" s="305">
        <v>0.57809999999999995</v>
      </c>
      <c r="C29" s="462">
        <v>0.67398000000000002</v>
      </c>
      <c r="D29" s="462">
        <v>0</v>
      </c>
      <c r="E29" s="462">
        <v>1.00688</v>
      </c>
      <c r="F29" s="462">
        <v>0.90908</v>
      </c>
      <c r="G29" s="462">
        <v>0</v>
      </c>
      <c r="H29" s="462">
        <v>1.7983</v>
      </c>
      <c r="I29" s="462">
        <v>1.5696000000000001</v>
      </c>
      <c r="J29" s="462">
        <v>0</v>
      </c>
      <c r="K29" s="462">
        <v>2.4739749999999998</v>
      </c>
      <c r="L29" s="462">
        <v>0</v>
      </c>
      <c r="M29" s="462">
        <v>0</v>
      </c>
      <c r="N29" s="603" t="s">
        <v>583</v>
      </c>
      <c r="O29" s="462">
        <v>0.494764705882353</v>
      </c>
      <c r="P29" s="462">
        <v>0.37535000000000002</v>
      </c>
      <c r="Q29" s="462">
        <v>0.04</v>
      </c>
      <c r="R29" s="462">
        <v>0.78515555555555505</v>
      </c>
      <c r="S29" s="462">
        <v>0.48506153846153799</v>
      </c>
      <c r="T29" s="462">
        <v>0.114</v>
      </c>
      <c r="U29" s="462">
        <v>0.93810555555555597</v>
      </c>
      <c r="V29" s="462">
        <v>0.65963076923076902</v>
      </c>
      <c r="W29" s="462">
        <v>0.16500000000000001</v>
      </c>
      <c r="X29" s="462">
        <v>1.31833333333333</v>
      </c>
      <c r="Y29" s="462">
        <v>0.448955555555556</v>
      </c>
      <c r="Z29" s="462">
        <v>0.22500000000000001</v>
      </c>
      <c r="AA29" s="603" t="s">
        <v>583</v>
      </c>
      <c r="AB29" s="462">
        <v>0.52716666666666701</v>
      </c>
      <c r="AC29" s="462">
        <v>0.56999999999999995</v>
      </c>
      <c r="AD29" s="462">
        <v>0.56499999999999995</v>
      </c>
      <c r="AE29" s="462">
        <v>0.55992500000000001</v>
      </c>
      <c r="AF29" s="462">
        <v>0.74585000000000001</v>
      </c>
      <c r="AG29" s="462">
        <v>0.5</v>
      </c>
      <c r="AH29" s="462">
        <v>0.58457499999999996</v>
      </c>
      <c r="AI29" s="462">
        <v>0.58040000000000003</v>
      </c>
      <c r="AJ29" s="462">
        <v>0.75</v>
      </c>
      <c r="AK29" s="462">
        <v>0.616475</v>
      </c>
      <c r="AL29" s="462">
        <v>0.65995000000000004</v>
      </c>
      <c r="AM29" s="462">
        <v>1</v>
      </c>
    </row>
    <row r="30" spans="1:39" s="267" customFormat="1" ht="11.25" customHeight="1">
      <c r="A30" s="561" t="s">
        <v>574</v>
      </c>
      <c r="B30" s="240">
        <v>0.81779999999999997</v>
      </c>
      <c r="C30" s="576">
        <v>0.79754000000000003</v>
      </c>
      <c r="D30" s="576">
        <v>0</v>
      </c>
      <c r="E30" s="576">
        <v>1.2382599999999999</v>
      </c>
      <c r="F30" s="576">
        <v>1.04114</v>
      </c>
      <c r="G30" s="576">
        <v>0</v>
      </c>
      <c r="H30" s="576">
        <v>2.1077750000000002</v>
      </c>
      <c r="I30" s="576">
        <v>1.7737750000000001</v>
      </c>
      <c r="J30" s="576">
        <v>0</v>
      </c>
      <c r="K30" s="576">
        <v>2.8045749999999998</v>
      </c>
      <c r="L30" s="576">
        <v>1.74</v>
      </c>
      <c r="M30" s="576">
        <v>0</v>
      </c>
      <c r="N30" s="561" t="s">
        <v>574</v>
      </c>
      <c r="O30" s="576">
        <v>0.68088235294117605</v>
      </c>
      <c r="P30" s="576">
        <v>0.4849</v>
      </c>
      <c r="Q30" s="576">
        <v>0.04</v>
      </c>
      <c r="R30" s="576">
        <v>1.00534705882353</v>
      </c>
      <c r="S30" s="576">
        <v>0.52327500000000005</v>
      </c>
      <c r="T30" s="576">
        <v>9.2499999999999999E-2</v>
      </c>
      <c r="U30" s="576">
        <v>1.171225</v>
      </c>
      <c r="V30" s="576">
        <v>0.729833333333333</v>
      </c>
      <c r="W30" s="576">
        <v>0.13125000000000001</v>
      </c>
      <c r="X30" s="576">
        <v>0.93832941176470597</v>
      </c>
      <c r="Y30" s="576">
        <v>0.54257500000000003</v>
      </c>
      <c r="Z30" s="576">
        <v>0.18124999999999999</v>
      </c>
      <c r="AA30" s="561" t="s">
        <v>574</v>
      </c>
      <c r="AB30" s="576">
        <v>0.52</v>
      </c>
      <c r="AC30" s="576">
        <v>0.62</v>
      </c>
      <c r="AD30" s="576">
        <v>0.56499999999999995</v>
      </c>
      <c r="AE30" s="576">
        <v>0.6532</v>
      </c>
      <c r="AF30" s="576">
        <v>0.60203333333333298</v>
      </c>
      <c r="AG30" s="576">
        <v>0.5</v>
      </c>
      <c r="AH30" s="576">
        <v>0.63947500000000002</v>
      </c>
      <c r="AI30" s="576">
        <v>0.58345000000000002</v>
      </c>
      <c r="AJ30" s="576">
        <v>0.75</v>
      </c>
      <c r="AK30" s="576">
        <v>0.61699999999999999</v>
      </c>
      <c r="AL30" s="576">
        <v>0.63</v>
      </c>
      <c r="AM30" s="576">
        <v>1</v>
      </c>
    </row>
    <row r="31" spans="1:39" s="267" customFormat="1" ht="12.75" customHeight="1">
      <c r="A31" s="640" t="s">
        <v>2299</v>
      </c>
      <c r="B31" s="641">
        <v>2.81717254901961</v>
      </c>
      <c r="C31" s="641">
        <v>1.8811113636363599</v>
      </c>
      <c r="D31" s="641">
        <v>0</v>
      </c>
      <c r="E31" s="641">
        <v>3.15982352941176</v>
      </c>
      <c r="F31" s="641">
        <v>2.5495000000000001</v>
      </c>
      <c r="G31" s="641">
        <v>0</v>
      </c>
      <c r="H31" s="641">
        <v>3.9451955555555598</v>
      </c>
      <c r="I31" s="641">
        <v>3.0833078947368402</v>
      </c>
      <c r="J31" s="641">
        <v>0</v>
      </c>
      <c r="K31" s="641">
        <v>4.2595311111111096</v>
      </c>
      <c r="L31" s="641">
        <v>2.4236363636363598</v>
      </c>
      <c r="M31" s="641">
        <v>0</v>
      </c>
      <c r="N31" s="640" t="s">
        <v>2299</v>
      </c>
      <c r="O31" s="641">
        <v>2.0001386243386201</v>
      </c>
      <c r="P31" s="641">
        <v>1.5466645669291299</v>
      </c>
      <c r="Q31" s="641">
        <v>0.75281818181818205</v>
      </c>
      <c r="R31" s="641">
        <v>2.5074815789473699</v>
      </c>
      <c r="S31" s="641">
        <v>1.68806285714286</v>
      </c>
      <c r="T31" s="641">
        <v>0.79199350649350597</v>
      </c>
      <c r="U31" s="641">
        <v>2.7318236180904498</v>
      </c>
      <c r="V31" s="641">
        <v>1.9837176056338</v>
      </c>
      <c r="W31" s="641">
        <v>0.86837777777777803</v>
      </c>
      <c r="X31" s="641">
        <v>2.8690920212765998</v>
      </c>
      <c r="Y31" s="641">
        <v>1.9108186915887899</v>
      </c>
      <c r="Z31" s="641">
        <v>0.91788947368421003</v>
      </c>
      <c r="AA31" s="640" t="s">
        <v>2299</v>
      </c>
      <c r="AB31" s="641">
        <v>1.4918097560975601</v>
      </c>
      <c r="AC31" s="641">
        <v>1.0596965517241399</v>
      </c>
      <c r="AD31" s="641">
        <v>0.58391304347826101</v>
      </c>
      <c r="AE31" s="641">
        <v>1.78563157894737</v>
      </c>
      <c r="AF31" s="641">
        <v>1.1464483870967701</v>
      </c>
      <c r="AG31" s="641">
        <v>0.54166666666666696</v>
      </c>
      <c r="AH31" s="641">
        <v>1.8759152173913001</v>
      </c>
      <c r="AI31" s="641">
        <v>0.72546500000000003</v>
      </c>
      <c r="AJ31" s="641">
        <v>0.77083333333333304</v>
      </c>
      <c r="AK31" s="641">
        <v>1.76011956521739</v>
      </c>
      <c r="AL31" s="641">
        <v>0.70540000000000003</v>
      </c>
      <c r="AM31" s="641">
        <v>1</v>
      </c>
    </row>
    <row r="32" spans="1:39" s="267" customFormat="1" ht="11.25" customHeight="1">
      <c r="A32" s="561" t="s">
        <v>576</v>
      </c>
      <c r="B32" s="240">
        <v>1.1800999999999999</v>
      </c>
      <c r="C32" s="576">
        <v>0.89303999999999994</v>
      </c>
      <c r="D32" s="576">
        <v>0</v>
      </c>
      <c r="E32" s="576">
        <v>1.6161799999999999</v>
      </c>
      <c r="F32" s="576">
        <v>1.20712</v>
      </c>
      <c r="G32" s="576">
        <v>0</v>
      </c>
      <c r="H32" s="576">
        <v>2.5818750000000001</v>
      </c>
      <c r="I32" s="576">
        <v>2.0512000000000001</v>
      </c>
      <c r="J32" s="576">
        <v>0</v>
      </c>
      <c r="K32" s="576">
        <v>3.2277499999999999</v>
      </c>
      <c r="L32" s="576">
        <v>2.11</v>
      </c>
      <c r="M32" s="576">
        <v>0</v>
      </c>
      <c r="N32" s="561" t="s">
        <v>576</v>
      </c>
      <c r="O32" s="576">
        <v>1.0422</v>
      </c>
      <c r="P32" s="576">
        <v>0.54191818181818197</v>
      </c>
      <c r="Q32" s="576">
        <v>3.1666666666666697E-2</v>
      </c>
      <c r="R32" s="576">
        <v>1.38604117647059</v>
      </c>
      <c r="S32" s="576">
        <v>0.75642500000000001</v>
      </c>
      <c r="T32" s="576">
        <v>0.11650000000000001</v>
      </c>
      <c r="U32" s="576">
        <v>1.5527411764705901</v>
      </c>
      <c r="V32" s="576">
        <v>0.99038333333333295</v>
      </c>
      <c r="W32" s="576">
        <v>0.19500000000000001</v>
      </c>
      <c r="X32" s="576">
        <v>1.87797058823529</v>
      </c>
      <c r="Y32" s="576">
        <v>0.70601250000000004</v>
      </c>
      <c r="Z32" s="576">
        <v>0.28000000000000003</v>
      </c>
      <c r="AA32" s="561" t="s">
        <v>576</v>
      </c>
      <c r="AB32" s="576">
        <v>0.889066666666667</v>
      </c>
      <c r="AC32" s="576">
        <v>0.62339999999999995</v>
      </c>
      <c r="AD32" s="576">
        <v>0.56499999999999995</v>
      </c>
      <c r="AE32" s="576">
        <v>0.6794</v>
      </c>
      <c r="AF32" s="576">
        <v>0.63270000000000004</v>
      </c>
      <c r="AG32" s="576">
        <v>0.5</v>
      </c>
      <c r="AH32" s="576">
        <v>0.69264999999999999</v>
      </c>
      <c r="AI32" s="576">
        <v>0.58494999999999997</v>
      </c>
      <c r="AJ32" s="576">
        <v>0.75</v>
      </c>
      <c r="AK32" s="576">
        <v>0.64780000000000004</v>
      </c>
      <c r="AL32" s="576">
        <v>1</v>
      </c>
      <c r="AM32" s="576">
        <v>1</v>
      </c>
    </row>
    <row r="33" spans="1:39" s="267" customFormat="1" ht="11.25" customHeight="1">
      <c r="A33" s="603" t="s">
        <v>577</v>
      </c>
      <c r="B33" s="305">
        <v>2.2162999999999999</v>
      </c>
      <c r="C33" s="462">
        <v>1.5696000000000001</v>
      </c>
      <c r="D33" s="462">
        <v>0</v>
      </c>
      <c r="E33" s="462">
        <v>2.7491333333333299</v>
      </c>
      <c r="F33" s="462">
        <v>2.01046666666667</v>
      </c>
      <c r="G33" s="462">
        <v>0</v>
      </c>
      <c r="H33" s="462">
        <v>3.2964333333333302</v>
      </c>
      <c r="I33" s="462">
        <v>2.6147</v>
      </c>
      <c r="J33" s="462">
        <v>0</v>
      </c>
      <c r="K33" s="462">
        <v>3.8115000000000001</v>
      </c>
      <c r="L33" s="462">
        <v>2.4</v>
      </c>
      <c r="M33" s="462">
        <v>0</v>
      </c>
      <c r="N33" s="603" t="s">
        <v>577</v>
      </c>
      <c r="O33" s="462">
        <v>1.4382352941176499</v>
      </c>
      <c r="P33" s="462">
        <v>0.91134999999999999</v>
      </c>
      <c r="Q33" s="462">
        <v>0.02</v>
      </c>
      <c r="R33" s="462">
        <v>1.83765</v>
      </c>
      <c r="S33" s="462">
        <v>1.1552384615384601</v>
      </c>
      <c r="T33" s="462">
        <v>8.8333333333333305E-2</v>
      </c>
      <c r="U33" s="462">
        <v>2.2511055555555601</v>
      </c>
      <c r="V33" s="462">
        <v>1.4751769230769201</v>
      </c>
      <c r="W33" s="462">
        <v>0.130833333333333</v>
      </c>
      <c r="X33" s="462">
        <v>2.4270578947368402</v>
      </c>
      <c r="Y33" s="462">
        <v>1.37172727272727</v>
      </c>
      <c r="Z33" s="462">
        <v>0.17249999999999999</v>
      </c>
      <c r="AA33" s="603" t="s">
        <v>577</v>
      </c>
      <c r="AB33" s="462">
        <v>0.52</v>
      </c>
      <c r="AC33" s="462">
        <v>0.65480000000000005</v>
      </c>
      <c r="AD33" s="462">
        <v>0.56499999999999995</v>
      </c>
      <c r="AE33" s="462">
        <v>0.83487999999999996</v>
      </c>
      <c r="AF33" s="462">
        <v>0.77836666666666698</v>
      </c>
      <c r="AG33" s="462">
        <v>0.5</v>
      </c>
      <c r="AH33" s="462">
        <v>0.80047500000000005</v>
      </c>
      <c r="AI33" s="462">
        <v>0.55500000000000005</v>
      </c>
      <c r="AJ33" s="462">
        <v>0.75</v>
      </c>
      <c r="AK33" s="462">
        <v>0.67754999999999999</v>
      </c>
      <c r="AL33" s="462">
        <v>1</v>
      </c>
      <c r="AM33" s="462">
        <v>1</v>
      </c>
    </row>
    <row r="34" spans="1:39" s="267" customFormat="1" ht="11.25" customHeight="1">
      <c r="A34" s="561" t="s">
        <v>571</v>
      </c>
      <c r="B34" s="240">
        <v>1.6681333333333299</v>
      </c>
      <c r="C34" s="576">
        <v>1.3474333333333299</v>
      </c>
      <c r="D34" s="576">
        <v>0</v>
      </c>
      <c r="E34" s="576">
        <v>2.0122</v>
      </c>
      <c r="F34" s="576">
        <v>1.7768999999999999</v>
      </c>
      <c r="G34" s="576">
        <v>0</v>
      </c>
      <c r="H34" s="576">
        <v>3.5878999999999999</v>
      </c>
      <c r="I34" s="576">
        <v>3.3936000000000002</v>
      </c>
      <c r="J34" s="576">
        <v>0</v>
      </c>
      <c r="K34" s="576">
        <v>4.1275000000000004</v>
      </c>
      <c r="L34" s="576">
        <v>0</v>
      </c>
      <c r="M34" s="576">
        <v>0</v>
      </c>
      <c r="N34" s="561" t="s">
        <v>571</v>
      </c>
      <c r="O34" s="576">
        <v>1.6063833333333299</v>
      </c>
      <c r="P34" s="576">
        <v>1.2950999999999999</v>
      </c>
      <c r="Q34" s="576">
        <v>0.01</v>
      </c>
      <c r="R34" s="576">
        <v>1.9527214285714301</v>
      </c>
      <c r="S34" s="576">
        <v>1.3877222222222201</v>
      </c>
      <c r="T34" s="576">
        <v>0.105</v>
      </c>
      <c r="U34" s="576">
        <v>2.3097666666666701</v>
      </c>
      <c r="V34" s="576">
        <v>1.7390666666666701</v>
      </c>
      <c r="W34" s="576">
        <v>0.34720000000000001</v>
      </c>
      <c r="X34" s="576">
        <v>2.7059230769230802</v>
      </c>
      <c r="Y34" s="576">
        <v>1.8437714285714299</v>
      </c>
      <c r="Z34" s="576">
        <v>0.20499999999999999</v>
      </c>
      <c r="AA34" s="561" t="s">
        <v>571</v>
      </c>
      <c r="AB34" s="576">
        <v>0.52854999999999996</v>
      </c>
      <c r="AC34" s="576">
        <v>0.38750000000000001</v>
      </c>
      <c r="AD34" s="576">
        <v>0.56499999999999995</v>
      </c>
      <c r="AE34" s="576">
        <v>1.43333333333333</v>
      </c>
      <c r="AF34" s="576">
        <v>0.53705000000000003</v>
      </c>
      <c r="AG34" s="576">
        <v>0.5</v>
      </c>
      <c r="AH34" s="576">
        <v>1.6571</v>
      </c>
      <c r="AI34" s="576">
        <v>0.56820000000000004</v>
      </c>
      <c r="AJ34" s="576">
        <v>0.75</v>
      </c>
      <c r="AK34" s="576">
        <v>1.82303333333333</v>
      </c>
      <c r="AL34" s="576">
        <v>0.66249999999999998</v>
      </c>
      <c r="AM34" s="576">
        <v>1</v>
      </c>
    </row>
    <row r="35" spans="1:39" s="267" customFormat="1" ht="11.25" customHeight="1">
      <c r="A35" s="603" t="s">
        <v>578</v>
      </c>
      <c r="B35" s="1432">
        <v>3.1544249999999998</v>
      </c>
      <c r="C35" s="1432">
        <v>2.3609</v>
      </c>
      <c r="D35" s="1432">
        <v>0</v>
      </c>
      <c r="E35" s="1432">
        <v>3.7686250000000001</v>
      </c>
      <c r="F35" s="1432">
        <v>3.0812750000000002</v>
      </c>
      <c r="G35" s="1432">
        <v>0</v>
      </c>
      <c r="H35" s="1432">
        <v>4.2827000000000002</v>
      </c>
      <c r="I35" s="1432">
        <v>3.9324750000000002</v>
      </c>
      <c r="J35" s="1432">
        <v>0</v>
      </c>
      <c r="K35" s="1432">
        <v>4.8122499999999997</v>
      </c>
      <c r="L35" s="1432">
        <v>3.61</v>
      </c>
      <c r="M35" s="1432">
        <v>0</v>
      </c>
      <c r="N35" s="603" t="s">
        <v>578</v>
      </c>
      <c r="O35" s="1433">
        <v>1.86513529411765</v>
      </c>
      <c r="P35" s="1433">
        <v>1.27776666666667</v>
      </c>
      <c r="Q35" s="1433">
        <v>0.31133333333333302</v>
      </c>
      <c r="R35" s="1433">
        <v>2.4048941176470602</v>
      </c>
      <c r="S35" s="1433">
        <v>1.5547307692307699</v>
      </c>
      <c r="T35" s="1433">
        <v>0.45100000000000001</v>
      </c>
      <c r="U35" s="1433">
        <v>2.75549444444444</v>
      </c>
      <c r="V35" s="1433">
        <v>1.9285538461538501</v>
      </c>
      <c r="W35" s="1433">
        <v>0.73575000000000002</v>
      </c>
      <c r="X35" s="1433">
        <v>2.9853176470588201</v>
      </c>
      <c r="Y35" s="1433">
        <v>1.9206000000000001</v>
      </c>
      <c r="Z35" s="1433">
        <v>0.79428571428571404</v>
      </c>
      <c r="AA35" s="603" t="s">
        <v>578</v>
      </c>
      <c r="AB35" s="1434">
        <v>1.1800333333333299</v>
      </c>
      <c r="AC35" s="1434">
        <v>0.755</v>
      </c>
      <c r="AD35" s="1434">
        <v>0.56499999999999995</v>
      </c>
      <c r="AE35" s="1434">
        <v>1.4816400000000001</v>
      </c>
      <c r="AF35" s="1434">
        <v>0.82086666666666697</v>
      </c>
      <c r="AG35" s="1434">
        <v>0.5</v>
      </c>
      <c r="AH35" s="1434">
        <v>2.2874333333333299</v>
      </c>
      <c r="AI35" s="1434">
        <v>0.56999999999999995</v>
      </c>
      <c r="AJ35" s="1434">
        <v>0.75</v>
      </c>
      <c r="AK35" s="1434">
        <v>1.627075</v>
      </c>
      <c r="AL35" s="1434">
        <v>0.65934999999999999</v>
      </c>
      <c r="AM35" s="1434">
        <v>1</v>
      </c>
    </row>
    <row r="36" spans="1:39" s="267" customFormat="1" ht="11.25" customHeight="1">
      <c r="A36" s="561" t="s">
        <v>579</v>
      </c>
      <c r="B36" s="1440">
        <v>2.9272200000000002</v>
      </c>
      <c r="C36" s="1440">
        <v>2.2197399999999998</v>
      </c>
      <c r="D36" s="1440">
        <v>0</v>
      </c>
      <c r="E36" s="1440">
        <v>3.4677199999999999</v>
      </c>
      <c r="F36" s="1440">
        <v>2.6247600000000002</v>
      </c>
      <c r="G36" s="1440">
        <v>0</v>
      </c>
      <c r="H36" s="1440">
        <v>4.8097000000000003</v>
      </c>
      <c r="I36" s="1440">
        <v>4.0413500000000004</v>
      </c>
      <c r="J36" s="1440">
        <v>0</v>
      </c>
      <c r="K36" s="1440">
        <v>5.2746000000000004</v>
      </c>
      <c r="L36" s="1440">
        <v>4.3</v>
      </c>
      <c r="M36" s="1440">
        <v>0</v>
      </c>
      <c r="N36" s="561" t="s">
        <v>579</v>
      </c>
      <c r="O36" s="1441">
        <v>2.0389499999999998</v>
      </c>
      <c r="P36" s="1441">
        <v>1.5418499999999999</v>
      </c>
      <c r="Q36" s="1441">
        <v>0.42599999999999999</v>
      </c>
      <c r="R36" s="1441">
        <v>2.7240294117647101</v>
      </c>
      <c r="S36" s="1441">
        <v>1.6566384615384599</v>
      </c>
      <c r="T36" s="1441">
        <v>0.54314285714285704</v>
      </c>
      <c r="U36" s="1441">
        <v>2.9229833333333302</v>
      </c>
      <c r="V36" s="1441">
        <v>2.0389230769230799</v>
      </c>
      <c r="W36" s="1441">
        <v>0.78174999999999994</v>
      </c>
      <c r="X36" s="1441">
        <v>3.0679882352941199</v>
      </c>
      <c r="Y36" s="1441">
        <v>2.1520000000000001</v>
      </c>
      <c r="Z36" s="1441">
        <v>0.84214285714285697</v>
      </c>
      <c r="AA36" s="561" t="s">
        <v>579</v>
      </c>
      <c r="AB36" s="1442">
        <v>1.18</v>
      </c>
      <c r="AC36" s="1442">
        <v>0.82</v>
      </c>
      <c r="AD36" s="1442">
        <v>0.56499999999999995</v>
      </c>
      <c r="AE36" s="1442">
        <v>2.0303</v>
      </c>
      <c r="AF36" s="1442">
        <v>1.02</v>
      </c>
      <c r="AG36" s="1442">
        <v>0.5</v>
      </c>
      <c r="AH36" s="1442">
        <v>1.7730999999999999</v>
      </c>
      <c r="AI36" s="1442">
        <v>0.56999999999999995</v>
      </c>
      <c r="AJ36" s="1442">
        <v>0.75</v>
      </c>
      <c r="AK36" s="1442">
        <v>1.7448999999999999</v>
      </c>
      <c r="AL36" s="1442">
        <v>0.66069999999999995</v>
      </c>
      <c r="AM36" s="1442">
        <v>1</v>
      </c>
    </row>
    <row r="37" spans="1:39" s="267" customFormat="1" ht="11.25" customHeight="1">
      <c r="A37" s="603" t="s">
        <v>572</v>
      </c>
      <c r="B37" s="1462">
        <v>2.6480000000000001</v>
      </c>
      <c r="C37" s="1462">
        <v>1.9259999999999999</v>
      </c>
      <c r="D37" s="1462">
        <v>0</v>
      </c>
      <c r="E37" s="1462">
        <v>3.08</v>
      </c>
      <c r="F37" s="1462">
        <v>2.2519999999999998</v>
      </c>
      <c r="G37" s="1462">
        <v>0</v>
      </c>
      <c r="H37" s="1462">
        <v>4.2774999999999999</v>
      </c>
      <c r="I37" s="1462">
        <v>3.3675000000000002</v>
      </c>
      <c r="J37" s="1462">
        <v>0</v>
      </c>
      <c r="K37" s="1462">
        <v>4.5225</v>
      </c>
      <c r="L37" s="1462">
        <v>2.14</v>
      </c>
      <c r="M37" s="1462">
        <v>0</v>
      </c>
      <c r="N37" s="603" t="s">
        <v>572</v>
      </c>
      <c r="O37" s="1462">
        <v>2.0894117647058801</v>
      </c>
      <c r="P37" s="1462">
        <v>1.7581818181818201</v>
      </c>
      <c r="Q37" s="1462">
        <v>0.70499999999999996</v>
      </c>
      <c r="R37" s="1462">
        <v>2.7211764705882402</v>
      </c>
      <c r="S37" s="1462">
        <v>1.7823076923076899</v>
      </c>
      <c r="T37" s="1462">
        <v>0.75857142857142801</v>
      </c>
      <c r="U37" s="1462">
        <v>2.89611111111111</v>
      </c>
      <c r="V37" s="1462">
        <v>2.06</v>
      </c>
      <c r="W37" s="1462">
        <v>0.95125000000000004</v>
      </c>
      <c r="X37" s="1462">
        <v>3.1852941176470599</v>
      </c>
      <c r="Y37" s="1462">
        <v>1.9730000000000001</v>
      </c>
      <c r="Z37" s="1462">
        <v>1.0585714285714301</v>
      </c>
      <c r="AA37" s="603" t="s">
        <v>572</v>
      </c>
      <c r="AB37" s="1462">
        <v>1.5825</v>
      </c>
      <c r="AC37" s="1462">
        <v>0.94666666666666699</v>
      </c>
      <c r="AD37" s="1462">
        <v>0.56499999999999995</v>
      </c>
      <c r="AE37" s="1462">
        <v>2.0019999999999998</v>
      </c>
      <c r="AF37" s="1462">
        <v>1.03</v>
      </c>
      <c r="AG37" s="1462">
        <v>0.5</v>
      </c>
      <c r="AH37" s="1462">
        <v>1.8325</v>
      </c>
      <c r="AI37" s="1462">
        <v>0.85</v>
      </c>
      <c r="AJ37" s="1462">
        <v>0.75</v>
      </c>
      <c r="AK37" s="1462">
        <v>1.8574999999999999</v>
      </c>
      <c r="AL37" s="1462">
        <v>0.66</v>
      </c>
      <c r="AM37" s="1462">
        <v>1</v>
      </c>
    </row>
    <row r="38" spans="1:39" s="267" customFormat="1" ht="11.25" customHeight="1">
      <c r="A38" s="561" t="s">
        <v>580</v>
      </c>
      <c r="B38" s="1496">
        <v>3.1699250000000001</v>
      </c>
      <c r="C38" s="1496">
        <v>2.3282250000000002</v>
      </c>
      <c r="D38" s="1496">
        <v>0</v>
      </c>
      <c r="E38" s="1496">
        <v>3.5287999999999999</v>
      </c>
      <c r="F38" s="1496">
        <v>2.668825</v>
      </c>
      <c r="G38" s="1496">
        <v>0</v>
      </c>
      <c r="H38" s="1496">
        <v>3.8818000000000001</v>
      </c>
      <c r="I38" s="1496">
        <v>3.1211500000000001</v>
      </c>
      <c r="J38" s="1496">
        <v>0</v>
      </c>
      <c r="K38" s="1496">
        <v>4.0815250000000001</v>
      </c>
      <c r="L38" s="1496">
        <v>1.79</v>
      </c>
      <c r="M38" s="1496">
        <v>0</v>
      </c>
      <c r="N38" s="561" t="s">
        <v>580</v>
      </c>
      <c r="O38" s="1496">
        <v>2.1237294117647099</v>
      </c>
      <c r="P38" s="1496">
        <v>1.82094166666667</v>
      </c>
      <c r="Q38" s="1496">
        <v>0.857757142857143</v>
      </c>
      <c r="R38" s="1496">
        <v>2.8846500000000002</v>
      </c>
      <c r="S38" s="1496">
        <v>1.881375</v>
      </c>
      <c r="T38" s="1496">
        <v>1.01351428571429</v>
      </c>
      <c r="U38" s="1496">
        <v>3.0198411764705901</v>
      </c>
      <c r="V38" s="1496">
        <v>2.15513333333333</v>
      </c>
      <c r="W38" s="1496">
        <v>0.99677142857142897</v>
      </c>
      <c r="X38" s="1496">
        <v>3.11086666666667</v>
      </c>
      <c r="Y38" s="1496">
        <v>2.024375</v>
      </c>
      <c r="Z38" s="1496">
        <v>1.18183333333333</v>
      </c>
      <c r="AA38" s="561" t="s">
        <v>580</v>
      </c>
      <c r="AB38" s="1496">
        <v>1.5745</v>
      </c>
      <c r="AC38" s="1496">
        <v>1.39</v>
      </c>
      <c r="AD38" s="1496">
        <v>0.56499999999999995</v>
      </c>
      <c r="AE38" s="1496">
        <v>2.0478200000000002</v>
      </c>
      <c r="AF38" s="1496">
        <v>1.1466666666666701</v>
      </c>
      <c r="AG38" s="1496">
        <v>0.5</v>
      </c>
      <c r="AH38" s="1496">
        <v>1.9017999999999999</v>
      </c>
      <c r="AI38" s="1496">
        <v>0.85</v>
      </c>
      <c r="AJ38" s="1496">
        <v>0.75</v>
      </c>
      <c r="AK38" s="1496">
        <v>1.8611249999999999</v>
      </c>
      <c r="AL38" s="1496">
        <v>0.65959999999999996</v>
      </c>
      <c r="AM38" s="1496">
        <v>1</v>
      </c>
    </row>
    <row r="39" spans="1:39" s="267" customFormat="1" ht="11.25" customHeight="1">
      <c r="A39" s="603" t="s">
        <v>581</v>
      </c>
      <c r="B39" s="1462">
        <v>3.3087</v>
      </c>
      <c r="C39" s="1462">
        <v>2.6006499999999999</v>
      </c>
      <c r="D39" s="1462">
        <v>0</v>
      </c>
      <c r="E39" s="1462">
        <v>3.4351500000000001</v>
      </c>
      <c r="F39" s="1462">
        <v>2.8826499999999999</v>
      </c>
      <c r="G39" s="1462">
        <v>0</v>
      </c>
      <c r="H39" s="1462">
        <v>3.9281000000000001</v>
      </c>
      <c r="I39" s="1462">
        <v>3.2561749999999998</v>
      </c>
      <c r="J39" s="1462">
        <v>0</v>
      </c>
      <c r="K39" s="1462">
        <v>4.1534250000000004</v>
      </c>
      <c r="L39" s="1462">
        <v>1.91</v>
      </c>
      <c r="M39" s="1462">
        <v>0</v>
      </c>
      <c r="N39" s="603" t="s">
        <v>581</v>
      </c>
      <c r="O39" s="1462">
        <v>2.14007647058824</v>
      </c>
      <c r="P39" s="1462">
        <v>1.8339909090909099</v>
      </c>
      <c r="Q39" s="1462">
        <v>0.93308571428571396</v>
      </c>
      <c r="R39" s="1462">
        <v>2.7532058823529399</v>
      </c>
      <c r="S39" s="1462">
        <v>1.8150769230769199</v>
      </c>
      <c r="T39" s="1462">
        <v>0.92349999999999999</v>
      </c>
      <c r="U39" s="1462">
        <v>2.80540588235294</v>
      </c>
      <c r="V39" s="1462">
        <v>2.20777857142857</v>
      </c>
      <c r="W39" s="1462">
        <v>0.9911375</v>
      </c>
      <c r="X39" s="1462">
        <v>3.0229124999999999</v>
      </c>
      <c r="Y39" s="1462">
        <v>1.87838888888889</v>
      </c>
      <c r="Z39" s="1462">
        <v>0.99093750000000003</v>
      </c>
      <c r="AA39" s="603" t="s">
        <v>581</v>
      </c>
      <c r="AB39" s="1462">
        <v>1.632125</v>
      </c>
      <c r="AC39" s="1462">
        <v>1.0633333333333299</v>
      </c>
      <c r="AD39" s="1462">
        <v>0.56499999999999995</v>
      </c>
      <c r="AE39" s="1462">
        <v>2.1444200000000002</v>
      </c>
      <c r="AF39" s="1462">
        <v>1.575</v>
      </c>
      <c r="AG39" s="1462">
        <v>0.5</v>
      </c>
      <c r="AH39" s="1462">
        <v>2.0254500000000002</v>
      </c>
      <c r="AI39" s="1462">
        <v>0.85</v>
      </c>
      <c r="AJ39" s="1462">
        <v>0.75</v>
      </c>
      <c r="AK39" s="1462">
        <v>1.8911500000000001</v>
      </c>
      <c r="AL39" s="1462">
        <v>0.65959999999999996</v>
      </c>
      <c r="AM39" s="1462">
        <v>1</v>
      </c>
    </row>
    <row r="40" spans="1:39" s="267" customFormat="1" ht="11.25" customHeight="1">
      <c r="A40" s="561" t="s">
        <v>573</v>
      </c>
      <c r="B40" s="1440">
        <v>2.77</v>
      </c>
      <c r="C40" s="1440">
        <v>2.2559999999999998</v>
      </c>
      <c r="D40" s="1440">
        <v>0</v>
      </c>
      <c r="E40" s="1440">
        <v>3</v>
      </c>
      <c r="F40" s="1440">
        <v>2.4420000000000002</v>
      </c>
      <c r="G40" s="1440">
        <v>0</v>
      </c>
      <c r="H40" s="1440">
        <v>3.9275000000000002</v>
      </c>
      <c r="I40" s="1440">
        <v>3.3824999999999998</v>
      </c>
      <c r="J40" s="1440">
        <v>0</v>
      </c>
      <c r="K40" s="1440">
        <v>4.03</v>
      </c>
      <c r="L40" s="1440">
        <v>2.0299999999999998</v>
      </c>
      <c r="M40" s="1440">
        <v>0</v>
      </c>
      <c r="N40" s="561" t="s">
        <v>573</v>
      </c>
      <c r="O40" s="1440">
        <v>2.1506249999999998</v>
      </c>
      <c r="P40" s="1440">
        <v>1.90083333333333</v>
      </c>
      <c r="Q40" s="1440">
        <v>0.93500000000000005</v>
      </c>
      <c r="R40" s="1440">
        <v>2.6749999999999998</v>
      </c>
      <c r="S40" s="1440">
        <v>1.88916666666667</v>
      </c>
      <c r="T40" s="1440">
        <v>0.90444444444444405</v>
      </c>
      <c r="U40" s="1440">
        <v>2.6547058823529399</v>
      </c>
      <c r="V40" s="1440">
        <v>2.24384615384615</v>
      </c>
      <c r="W40" s="1440">
        <v>0.95222222222222197</v>
      </c>
      <c r="X40" s="1440">
        <v>2.78411764705882</v>
      </c>
      <c r="Y40" s="1440">
        <v>1.7390000000000001</v>
      </c>
      <c r="Z40" s="1440">
        <v>1.2888888888888901</v>
      </c>
      <c r="AA40" s="561" t="s">
        <v>573</v>
      </c>
      <c r="AB40" s="1440">
        <v>1.67</v>
      </c>
      <c r="AC40" s="1440">
        <v>1.51</v>
      </c>
      <c r="AD40" s="1440">
        <v>0.56499999999999995</v>
      </c>
      <c r="AE40" s="1440">
        <v>2.206</v>
      </c>
      <c r="AF40" s="1440">
        <v>1.575</v>
      </c>
      <c r="AG40" s="1440">
        <v>0.5</v>
      </c>
      <c r="AH40" s="1440">
        <v>2.0325000000000002</v>
      </c>
      <c r="AI40" s="1440">
        <v>0.93500000000000005</v>
      </c>
      <c r="AJ40" s="1440">
        <v>0.75</v>
      </c>
      <c r="AK40" s="1440">
        <v>2.0750000000000002</v>
      </c>
      <c r="AL40" s="1440">
        <v>0.65500000000000003</v>
      </c>
      <c r="AM40" s="1440">
        <v>1</v>
      </c>
    </row>
    <row r="41" spans="1:39" s="267" customFormat="1" ht="11.25" customHeight="1">
      <c r="A41" s="603" t="s">
        <v>582</v>
      </c>
      <c r="B41" s="1462">
        <v>2.9247399999999999</v>
      </c>
      <c r="C41" s="1462">
        <v>1.1712</v>
      </c>
      <c r="D41" s="1462">
        <v>0</v>
      </c>
      <c r="E41" s="1462">
        <v>3.1534399999999998</v>
      </c>
      <c r="F41" s="1462">
        <v>2.5663999999999998</v>
      </c>
      <c r="G41" s="1462">
        <v>0</v>
      </c>
      <c r="H41" s="1462">
        <v>4.0004999999999997</v>
      </c>
      <c r="I41" s="1462">
        <v>1.895</v>
      </c>
      <c r="J41" s="1462">
        <v>0</v>
      </c>
      <c r="K41" s="1462">
        <v>3.9727999999999999</v>
      </c>
      <c r="L41" s="1462">
        <v>2.13</v>
      </c>
      <c r="M41" s="1462">
        <v>0</v>
      </c>
      <c r="N41" s="603" t="s">
        <v>582</v>
      </c>
      <c r="O41" s="1462">
        <v>2.1764666666666699</v>
      </c>
      <c r="P41" s="1462">
        <v>1.46031111111111</v>
      </c>
      <c r="Q41" s="1462">
        <v>0.80018333333333302</v>
      </c>
      <c r="R41" s="1462">
        <v>2.93588571428571</v>
      </c>
      <c r="S41" s="1462">
        <v>1.97838</v>
      </c>
      <c r="T41" s="1462">
        <v>0.85156666666666703</v>
      </c>
      <c r="U41" s="1462">
        <v>3.0385399999999998</v>
      </c>
      <c r="V41" s="1462">
        <v>2.1226699999999998</v>
      </c>
      <c r="W41" s="1462">
        <v>0.85435000000000005</v>
      </c>
      <c r="X41" s="1462">
        <v>2.99763571428571</v>
      </c>
      <c r="Y41" s="1462">
        <v>2.0556999999999999</v>
      </c>
      <c r="Z41" s="1462">
        <v>0.72518333333333296</v>
      </c>
      <c r="AA41" s="603" t="s">
        <v>582</v>
      </c>
      <c r="AB41" s="1462">
        <v>1.7508250000000001</v>
      </c>
      <c r="AC41" s="1462">
        <v>1.5349999999999999</v>
      </c>
      <c r="AD41" s="1462">
        <v>0.56499999999999995</v>
      </c>
      <c r="AE41" s="1462">
        <v>2.21774</v>
      </c>
      <c r="AF41" s="1462">
        <v>1.72</v>
      </c>
      <c r="AG41" s="1462">
        <v>0.5</v>
      </c>
      <c r="AH41" s="1462">
        <v>2.0286499999999998</v>
      </c>
      <c r="AI41" s="1462">
        <v>0.90149999999999997</v>
      </c>
      <c r="AJ41" s="1462">
        <v>0.75</v>
      </c>
      <c r="AK41" s="1462">
        <v>2.0895000000000001</v>
      </c>
      <c r="AL41" s="1462">
        <v>0.65995000000000004</v>
      </c>
      <c r="AM41" s="1462">
        <v>1</v>
      </c>
    </row>
    <row r="42" spans="1:39" s="267" customFormat="1" ht="11.25" customHeight="1">
      <c r="A42" s="561" t="s">
        <v>583</v>
      </c>
      <c r="B42" s="1440">
        <v>3.81</v>
      </c>
      <c r="C42" s="1440">
        <v>1.7</v>
      </c>
      <c r="D42" s="1440">
        <v>0</v>
      </c>
      <c r="E42" s="1440">
        <v>4.0875000000000004</v>
      </c>
      <c r="F42" s="1440">
        <v>3.4175</v>
      </c>
      <c r="G42" s="1440">
        <v>0</v>
      </c>
      <c r="H42" s="1440">
        <v>4.1775000000000002</v>
      </c>
      <c r="I42" s="1440">
        <v>2.2400000000000002</v>
      </c>
      <c r="J42" s="1440">
        <v>0</v>
      </c>
      <c r="K42" s="1440">
        <v>4.1725000000000003</v>
      </c>
      <c r="L42" s="1440">
        <v>2.2400000000000002</v>
      </c>
      <c r="M42" s="1440">
        <v>0</v>
      </c>
      <c r="N42" s="561" t="s">
        <v>583</v>
      </c>
      <c r="O42" s="1440">
        <v>2.1459999999999999</v>
      </c>
      <c r="P42" s="1440">
        <v>1.81222222222222</v>
      </c>
      <c r="Q42" s="1440">
        <v>0.836666666666667</v>
      </c>
      <c r="R42" s="1440">
        <v>2.6521428571428598</v>
      </c>
      <c r="S42" s="1440">
        <v>2.02</v>
      </c>
      <c r="T42" s="1440">
        <v>0.90833333333333299</v>
      </c>
      <c r="U42" s="1440">
        <v>2.8660000000000001</v>
      </c>
      <c r="V42" s="1440">
        <v>2.145</v>
      </c>
      <c r="W42" s="1440">
        <v>0.91500000000000004</v>
      </c>
      <c r="X42" s="1440">
        <v>2.7530769230769199</v>
      </c>
      <c r="Y42" s="1440">
        <v>2.3242857142857098</v>
      </c>
      <c r="Z42" s="1440">
        <v>0.77833333333333299</v>
      </c>
      <c r="AA42" s="561" t="s">
        <v>583</v>
      </c>
      <c r="AB42" s="1440">
        <v>1.87</v>
      </c>
      <c r="AC42" s="1440">
        <v>1.56</v>
      </c>
      <c r="AD42" s="1440">
        <v>0.56499999999999995</v>
      </c>
      <c r="AE42" s="1440">
        <v>2.0649999999999999</v>
      </c>
      <c r="AF42" s="1440">
        <v>1.72</v>
      </c>
      <c r="AG42" s="1440">
        <v>0.5</v>
      </c>
      <c r="AH42" s="1440">
        <v>2.0274999999999999</v>
      </c>
      <c r="AI42" s="1440">
        <v>0.79500000000000004</v>
      </c>
      <c r="AJ42" s="1440">
        <v>0.75</v>
      </c>
      <c r="AK42" s="1440">
        <v>2.1524999999999999</v>
      </c>
      <c r="AL42" s="1440">
        <v>0.63</v>
      </c>
      <c r="AM42" s="1440">
        <v>1</v>
      </c>
    </row>
    <row r="43" spans="1:39" s="267" customFormat="1" ht="11.25" customHeight="1">
      <c r="A43" s="603" t="s">
        <v>574</v>
      </c>
      <c r="B43" s="1462">
        <v>4</v>
      </c>
      <c r="C43" s="1462">
        <v>2</v>
      </c>
      <c r="D43" s="1462">
        <v>0</v>
      </c>
      <c r="E43" s="1462">
        <v>4</v>
      </c>
      <c r="F43" s="1462">
        <v>3.75</v>
      </c>
      <c r="G43" s="1462">
        <v>0</v>
      </c>
      <c r="H43" s="1462">
        <v>4.25</v>
      </c>
      <c r="I43" s="1462">
        <v>2</v>
      </c>
      <c r="J43" s="1462">
        <v>0</v>
      </c>
      <c r="K43" s="1462">
        <v>4.75</v>
      </c>
      <c r="L43" s="1462">
        <v>2</v>
      </c>
      <c r="M43" s="1462">
        <v>0</v>
      </c>
      <c r="N43" s="603" t="s">
        <v>574</v>
      </c>
      <c r="O43" s="1462">
        <v>3.4615384615384599</v>
      </c>
      <c r="P43" s="1462">
        <v>2.5555555555555598</v>
      </c>
      <c r="Q43" s="1462">
        <v>2.2000000000000002</v>
      </c>
      <c r="R43" s="1462">
        <v>3.4615384615384599</v>
      </c>
      <c r="S43" s="1462">
        <v>2.6</v>
      </c>
      <c r="T43" s="1462">
        <v>2.8</v>
      </c>
      <c r="U43" s="1462">
        <v>3.9285714285714302</v>
      </c>
      <c r="V43" s="1462">
        <v>2.8</v>
      </c>
      <c r="W43" s="1462">
        <v>2.6</v>
      </c>
      <c r="X43" s="1462">
        <v>3.7692307692307701</v>
      </c>
      <c r="Y43" s="1462">
        <v>3.125</v>
      </c>
      <c r="Z43" s="1462">
        <v>2.4</v>
      </c>
      <c r="AA43" s="603" t="s">
        <v>574</v>
      </c>
      <c r="AB43" s="1462">
        <v>2.25</v>
      </c>
      <c r="AC43" s="1462">
        <v>2</v>
      </c>
      <c r="AD43" s="1462">
        <v>1</v>
      </c>
      <c r="AE43" s="1462">
        <v>2.2000000000000002</v>
      </c>
      <c r="AF43" s="1462">
        <v>1.6666666666666701</v>
      </c>
      <c r="AG43" s="1462">
        <v>1</v>
      </c>
      <c r="AH43" s="1462">
        <v>3.5</v>
      </c>
      <c r="AI43" s="1462">
        <v>1</v>
      </c>
      <c r="AJ43" s="1462">
        <v>1</v>
      </c>
      <c r="AK43" s="1462">
        <v>3</v>
      </c>
      <c r="AL43" s="1462">
        <v>1</v>
      </c>
      <c r="AM43" s="1462">
        <v>1</v>
      </c>
    </row>
    <row r="44" spans="1:39" s="267" customFormat="1" ht="14.25" customHeight="1">
      <c r="A44" s="588" t="s">
        <v>2515</v>
      </c>
      <c r="B44" s="1496"/>
      <c r="C44" s="1496"/>
      <c r="D44" s="1496"/>
      <c r="E44" s="1496"/>
      <c r="F44" s="1496"/>
      <c r="G44" s="1496"/>
      <c r="H44" s="1496"/>
      <c r="I44" s="1496"/>
      <c r="J44" s="1496"/>
      <c r="K44" s="1496"/>
      <c r="L44" s="1496"/>
      <c r="M44" s="1496"/>
      <c r="N44" s="588" t="s">
        <v>2515</v>
      </c>
      <c r="O44" s="1496"/>
      <c r="P44" s="1496"/>
      <c r="Q44" s="1496"/>
      <c r="R44" s="1496"/>
      <c r="S44" s="1496"/>
      <c r="T44" s="1496"/>
      <c r="U44" s="1496"/>
      <c r="V44" s="1496"/>
      <c r="W44" s="1496"/>
      <c r="X44" s="1496"/>
      <c r="Y44" s="1496"/>
      <c r="Z44" s="1496"/>
      <c r="AA44" s="588" t="s">
        <v>2515</v>
      </c>
      <c r="AB44" s="1496"/>
      <c r="AC44" s="1496"/>
      <c r="AD44" s="1496"/>
      <c r="AE44" s="1496"/>
      <c r="AF44" s="1496"/>
      <c r="AG44" s="1496"/>
      <c r="AH44" s="1496"/>
      <c r="AI44" s="1496"/>
      <c r="AJ44" s="1496"/>
      <c r="AK44" s="1496"/>
      <c r="AL44" s="1496"/>
      <c r="AM44" s="1496"/>
    </row>
    <row r="45" spans="1:39" s="267" customFormat="1" ht="11.25" customHeight="1">
      <c r="A45" s="603" t="s">
        <v>576</v>
      </c>
      <c r="B45" s="1462">
        <v>3.1545000000000001</v>
      </c>
      <c r="C45" s="1462">
        <v>2.0283333333333302</v>
      </c>
      <c r="D45" s="1462">
        <v>1.55</v>
      </c>
      <c r="E45" s="1462">
        <v>3.3336199999999998</v>
      </c>
      <c r="F45" s="1462">
        <v>3.1493799999999998</v>
      </c>
      <c r="G45" s="1462">
        <v>1.45</v>
      </c>
      <c r="H45" s="1462">
        <v>4.2918000000000003</v>
      </c>
      <c r="I45" s="1462">
        <v>2.4516666666666702</v>
      </c>
      <c r="J45" s="1462">
        <v>1.27</v>
      </c>
      <c r="K45" s="1462">
        <v>4.4103500000000002</v>
      </c>
      <c r="L45" s="1462">
        <v>2.5716666666666699</v>
      </c>
      <c r="M45" s="1462">
        <v>0.76</v>
      </c>
      <c r="N45" s="603" t="s">
        <v>576</v>
      </c>
      <c r="O45" s="1462">
        <v>2.5941000000000001</v>
      </c>
      <c r="P45" s="1462">
        <v>2.1323727272727302</v>
      </c>
      <c r="Q45" s="1462">
        <v>1.5689249999999999</v>
      </c>
      <c r="R45" s="1462">
        <v>2.8828999999999998</v>
      </c>
      <c r="S45" s="1462">
        <v>2.1694384615384599</v>
      </c>
      <c r="T45" s="1462">
        <v>1.5008555555555601</v>
      </c>
      <c r="U45" s="1462">
        <v>3.1669055555555601</v>
      </c>
      <c r="V45" s="1462">
        <v>2.18428461538462</v>
      </c>
      <c r="W45" s="1462">
        <v>1.58056666666667</v>
      </c>
      <c r="X45" s="1462">
        <v>3.2953066666666699</v>
      </c>
      <c r="Y45" s="1462">
        <v>2.4331800000000001</v>
      </c>
      <c r="Z45" s="1462">
        <v>1.5437111111111099</v>
      </c>
      <c r="AA45" s="603" t="s">
        <v>576</v>
      </c>
      <c r="AB45" s="1462">
        <v>2.5284666666666702</v>
      </c>
      <c r="AC45" s="1462">
        <v>1.665</v>
      </c>
      <c r="AD45" s="1462">
        <v>0.25</v>
      </c>
      <c r="AE45" s="1462">
        <v>2.8730000000000002</v>
      </c>
      <c r="AF45" s="1462">
        <v>1.72</v>
      </c>
      <c r="AG45" s="1462">
        <v>0.5</v>
      </c>
      <c r="AH45" s="1462">
        <v>3.3585750000000001</v>
      </c>
      <c r="AI45" s="1462">
        <v>0.85</v>
      </c>
      <c r="AJ45" s="1462">
        <v>0.75</v>
      </c>
      <c r="AK45" s="1462">
        <v>3.4300999999999999</v>
      </c>
      <c r="AL45" s="1462">
        <v>1</v>
      </c>
      <c r="AM45" s="1462">
        <v>1</v>
      </c>
    </row>
    <row r="46" spans="1:39" s="267" customFormat="1" ht="11.25" customHeight="1">
      <c r="A46" s="561" t="s">
        <v>577</v>
      </c>
      <c r="B46" s="1496">
        <v>4.0119249999999997</v>
      </c>
      <c r="C46" s="1496">
        <v>3.57833333333333</v>
      </c>
      <c r="D46" s="1496">
        <v>3.21</v>
      </c>
      <c r="E46" s="1496">
        <v>4.1475999999999997</v>
      </c>
      <c r="F46" s="1496">
        <v>4.1350249999999997</v>
      </c>
      <c r="G46" s="1496">
        <v>3.05</v>
      </c>
      <c r="H46" s="1496">
        <v>4.2555500000000004</v>
      </c>
      <c r="I46" s="1496">
        <v>4.0650000000000004</v>
      </c>
      <c r="J46" s="1496">
        <v>2.74</v>
      </c>
      <c r="K46" s="1496">
        <v>4.2915999999999999</v>
      </c>
      <c r="L46" s="1496">
        <v>4.2149999999999999</v>
      </c>
      <c r="M46" s="1496">
        <v>1.77</v>
      </c>
      <c r="N46" s="561" t="s">
        <v>577</v>
      </c>
      <c r="O46" s="1496">
        <v>2.8407562500000001</v>
      </c>
      <c r="P46" s="1496">
        <v>2.4148499999999999</v>
      </c>
      <c r="Q46" s="1496">
        <v>1.6093999999999999</v>
      </c>
      <c r="R46" s="1496">
        <v>3.1495812500000002</v>
      </c>
      <c r="S46" s="1496">
        <v>2.3789250000000002</v>
      </c>
      <c r="T46" s="1496">
        <v>1.54056666666667</v>
      </c>
      <c r="U46" s="1496">
        <v>3.3771235294117599</v>
      </c>
      <c r="V46" s="1496">
        <v>2.3694583333333301</v>
      </c>
      <c r="W46" s="1496">
        <v>1.61194444444444</v>
      </c>
      <c r="X46" s="1496">
        <v>3.5563714285714298</v>
      </c>
      <c r="Y46" s="1496">
        <v>2.6325777777777799</v>
      </c>
      <c r="Z46" s="1496">
        <v>1.57694444444444</v>
      </c>
      <c r="AA46" s="561" t="s">
        <v>577</v>
      </c>
      <c r="AB46" s="1496">
        <v>2.1420499999999998</v>
      </c>
      <c r="AC46" s="1496">
        <v>1.45363333333333</v>
      </c>
      <c r="AD46" s="1496">
        <v>0.25</v>
      </c>
      <c r="AE46" s="1496">
        <v>2.3032249999999999</v>
      </c>
      <c r="AF46" s="1496">
        <v>1.8254999999999999</v>
      </c>
      <c r="AG46" s="1496">
        <v>0.5</v>
      </c>
      <c r="AH46" s="1496">
        <v>2.1575500000000001</v>
      </c>
      <c r="AI46" s="1496">
        <v>0.55500000000000005</v>
      </c>
      <c r="AJ46" s="1496">
        <v>0.75</v>
      </c>
      <c r="AK46" s="1496">
        <v>3.0726499999999999</v>
      </c>
      <c r="AL46" s="1496">
        <v>1</v>
      </c>
      <c r="AM46" s="1496">
        <v>1</v>
      </c>
    </row>
    <row r="47" spans="1:39" s="267" customFormat="1" ht="11.25" customHeight="1">
      <c r="A47" s="603" t="s">
        <v>571</v>
      </c>
      <c r="B47" s="1462">
        <v>3.5</v>
      </c>
      <c r="C47" s="1462">
        <v>3.6666666666666701</v>
      </c>
      <c r="D47" s="1462">
        <v>3</v>
      </c>
      <c r="E47" s="1462">
        <v>3.5</v>
      </c>
      <c r="F47" s="1462">
        <v>3.5</v>
      </c>
      <c r="G47" s="1462">
        <v>3</v>
      </c>
      <c r="H47" s="1462">
        <v>3.5</v>
      </c>
      <c r="I47" s="1462">
        <v>4</v>
      </c>
      <c r="J47" s="1462">
        <v>3</v>
      </c>
      <c r="K47" s="1462">
        <v>3.5</v>
      </c>
      <c r="L47" s="1462">
        <v>4</v>
      </c>
      <c r="M47" s="1462">
        <v>2</v>
      </c>
      <c r="N47" s="603" t="s">
        <v>571</v>
      </c>
      <c r="O47" s="1462">
        <v>3</v>
      </c>
      <c r="P47" s="1462">
        <v>2.7777777777777799</v>
      </c>
      <c r="Q47" s="1462">
        <v>2.8</v>
      </c>
      <c r="R47" s="1462">
        <v>3.5333333333333301</v>
      </c>
      <c r="S47" s="1462">
        <v>2.7</v>
      </c>
      <c r="T47" s="1462">
        <v>3</v>
      </c>
      <c r="U47" s="1462">
        <v>3.8125</v>
      </c>
      <c r="V47" s="1462">
        <v>2.8</v>
      </c>
      <c r="W47" s="1462">
        <v>2.8</v>
      </c>
      <c r="X47" s="1462">
        <v>3.78571428571429</v>
      </c>
      <c r="Y47" s="1462">
        <v>2.7777777777777799</v>
      </c>
      <c r="Z47" s="1462">
        <v>2.6</v>
      </c>
      <c r="AA47" s="603" t="s">
        <v>571</v>
      </c>
      <c r="AB47" s="1462">
        <v>2.25</v>
      </c>
      <c r="AC47" s="1462">
        <v>2</v>
      </c>
      <c r="AD47" s="1462">
        <v>0</v>
      </c>
      <c r="AE47" s="1462">
        <v>2.4</v>
      </c>
      <c r="AF47" s="1462">
        <v>2</v>
      </c>
      <c r="AG47" s="1462">
        <v>1</v>
      </c>
      <c r="AH47" s="1462">
        <v>3</v>
      </c>
      <c r="AI47" s="1462">
        <v>1.5</v>
      </c>
      <c r="AJ47" s="1462">
        <v>1</v>
      </c>
      <c r="AK47" s="1462">
        <v>3.8</v>
      </c>
      <c r="AL47" s="1462">
        <v>2</v>
      </c>
      <c r="AM47" s="1462">
        <v>1</v>
      </c>
    </row>
    <row r="48" spans="1:39" s="267" customFormat="1" ht="11.25" customHeight="1">
      <c r="A48" s="561" t="s">
        <v>578</v>
      </c>
      <c r="B48" s="1496">
        <v>3.5122749999999998</v>
      </c>
      <c r="C48" s="1496">
        <v>3.66333333333333</v>
      </c>
      <c r="D48" s="1496">
        <v>3.54</v>
      </c>
      <c r="E48" s="1496">
        <v>3.5832999999999999</v>
      </c>
      <c r="F48" s="1496">
        <v>3.51125</v>
      </c>
      <c r="G48" s="1496">
        <v>3.39</v>
      </c>
      <c r="H48" s="1496">
        <v>3.6463999999999999</v>
      </c>
      <c r="I48" s="1496">
        <v>3.8583333333333298</v>
      </c>
      <c r="J48" s="1496">
        <v>3.14</v>
      </c>
      <c r="K48" s="1496">
        <v>3.6182249999999998</v>
      </c>
      <c r="L48" s="1496">
        <v>3.8916666666666702</v>
      </c>
      <c r="M48" s="1496">
        <v>2.36</v>
      </c>
      <c r="N48" s="561" t="s">
        <v>578</v>
      </c>
      <c r="O48" s="1496">
        <v>2.9888294117647098</v>
      </c>
      <c r="P48" s="1496">
        <v>2.0522300000000002</v>
      </c>
      <c r="Q48" s="1496">
        <v>1.7444375000000001</v>
      </c>
      <c r="R48" s="1496">
        <v>3.1415250000000001</v>
      </c>
      <c r="S48" s="1496">
        <v>2.3578999999999999</v>
      </c>
      <c r="T48" s="1496">
        <v>1.6451111111111101</v>
      </c>
      <c r="U48" s="1496">
        <v>3.2763411764705901</v>
      </c>
      <c r="V48" s="1496">
        <v>2.3225250000000002</v>
      </c>
      <c r="W48" s="1496">
        <v>1.7189333333333301</v>
      </c>
      <c r="X48" s="1496">
        <v>3.5350666666666699</v>
      </c>
      <c r="Y48" s="1496">
        <v>2.3209399999999998</v>
      </c>
      <c r="Z48" s="1496">
        <v>1.6741222222222201</v>
      </c>
      <c r="AA48" s="561" t="s">
        <v>578</v>
      </c>
      <c r="AB48" s="1496">
        <v>2.1652</v>
      </c>
      <c r="AC48" s="1496">
        <v>1.71393333333333</v>
      </c>
      <c r="AD48" s="1496">
        <v>0.25</v>
      </c>
      <c r="AE48" s="1496">
        <v>2.4309599999999998</v>
      </c>
      <c r="AF48" s="1496">
        <v>1.4140333333333299</v>
      </c>
      <c r="AG48" s="1496">
        <v>0.5</v>
      </c>
      <c r="AH48" s="1496">
        <v>3.5136799999999999</v>
      </c>
      <c r="AI48" s="1496">
        <v>1.7350000000000001</v>
      </c>
      <c r="AJ48" s="1496">
        <v>0.75</v>
      </c>
      <c r="AK48" s="1496">
        <v>3.5808200000000001</v>
      </c>
      <c r="AL48" s="1496">
        <v>1.81</v>
      </c>
      <c r="AM48" s="1496">
        <v>1</v>
      </c>
    </row>
    <row r="49" spans="1:39" s="267" customFormat="1" ht="11.25" customHeight="1">
      <c r="A49" s="603" t="s">
        <v>579</v>
      </c>
      <c r="B49" s="1462">
        <v>3.5225</v>
      </c>
      <c r="C49" s="1462">
        <v>3.62666666666667</v>
      </c>
      <c r="D49" s="1462">
        <v>3.66</v>
      </c>
      <c r="E49" s="1462">
        <v>3.5775000000000001</v>
      </c>
      <c r="F49" s="1462">
        <v>3.44</v>
      </c>
      <c r="G49" s="1462">
        <v>3.55</v>
      </c>
      <c r="H49" s="1462">
        <v>3.6124999999999998</v>
      </c>
      <c r="I49" s="1462">
        <v>3.73</v>
      </c>
      <c r="J49" s="1462">
        <v>3.31</v>
      </c>
      <c r="K49" s="1462">
        <v>3.5325000000000002</v>
      </c>
      <c r="L49" s="1462">
        <v>3.70333333333333</v>
      </c>
      <c r="M49" s="1462">
        <v>2.64</v>
      </c>
      <c r="N49" s="603" t="s">
        <v>579</v>
      </c>
      <c r="O49" s="1462">
        <v>2.7716666666666701</v>
      </c>
      <c r="P49" s="1462">
        <v>2.0459999999999998</v>
      </c>
      <c r="Q49" s="1462">
        <v>1.74875</v>
      </c>
      <c r="R49" s="1462">
        <v>3.0882352941176499</v>
      </c>
      <c r="S49" s="1462">
        <v>2.23428571428571</v>
      </c>
      <c r="T49" s="1462">
        <v>1.66333333333333</v>
      </c>
      <c r="U49" s="1462">
        <v>3.3477777777777802</v>
      </c>
      <c r="V49" s="1462">
        <v>2.14846153846154</v>
      </c>
      <c r="W49" s="1462">
        <v>1.7222222222222201</v>
      </c>
      <c r="X49" s="1462">
        <v>3.6326666666666698</v>
      </c>
      <c r="Y49" s="1462">
        <v>2.2879999999999998</v>
      </c>
      <c r="Z49" s="1462">
        <v>1.6855555555555599</v>
      </c>
      <c r="AA49" s="603" t="s">
        <v>579</v>
      </c>
      <c r="AB49" s="1462">
        <v>2.2974999999999999</v>
      </c>
      <c r="AC49" s="1462">
        <v>1.2933333333333299</v>
      </c>
      <c r="AD49" s="1462">
        <v>0.25</v>
      </c>
      <c r="AE49" s="1462">
        <v>2.6659999999999999</v>
      </c>
      <c r="AF49" s="1462">
        <v>2.1533333333333302</v>
      </c>
      <c r="AG49" s="1462">
        <v>0.5</v>
      </c>
      <c r="AH49" s="1462">
        <v>3.5</v>
      </c>
      <c r="AI49" s="1462">
        <v>1.7350000000000001</v>
      </c>
      <c r="AJ49" s="1462">
        <v>0.75</v>
      </c>
      <c r="AK49" s="1462">
        <v>3.66</v>
      </c>
      <c r="AL49" s="1462">
        <v>1.81</v>
      </c>
      <c r="AM49" s="1462">
        <v>1</v>
      </c>
    </row>
    <row r="50" spans="1:39" s="267" customFormat="1" ht="11.25" customHeight="1">
      <c r="A50" s="561" t="s">
        <v>572</v>
      </c>
      <c r="B50" s="1496">
        <v>3.5354749999999999</v>
      </c>
      <c r="C50" s="1496">
        <v>3.6166666666666698</v>
      </c>
      <c r="D50" s="1496">
        <v>3.66</v>
      </c>
      <c r="E50" s="1496">
        <v>3.5557249999999998</v>
      </c>
      <c r="F50" s="1496">
        <v>3.4160499999999998</v>
      </c>
      <c r="G50" s="1496">
        <v>3.64</v>
      </c>
      <c r="H50" s="1496">
        <v>3.4929250000000001</v>
      </c>
      <c r="I50" s="1496">
        <v>3.6616666666666702</v>
      </c>
      <c r="J50" s="1496">
        <v>3.45</v>
      </c>
      <c r="K50" s="1496">
        <v>3.271525</v>
      </c>
      <c r="L50" s="1496">
        <v>3.56666666666667</v>
      </c>
      <c r="M50" s="1496">
        <v>2.86</v>
      </c>
      <c r="N50" s="561" t="s">
        <v>572</v>
      </c>
      <c r="O50" s="1496">
        <v>3.1166499999999999</v>
      </c>
      <c r="P50" s="1496">
        <v>2.8119999999999998</v>
      </c>
      <c r="Q50" s="1496">
        <v>2.0775000000000001</v>
      </c>
      <c r="R50" s="1496">
        <v>3.3787294117647102</v>
      </c>
      <c r="S50" s="1496">
        <v>2.7477642857142901</v>
      </c>
      <c r="T50" s="1496">
        <v>1.8825000000000001</v>
      </c>
      <c r="U50" s="1496">
        <v>3.5469277777777801</v>
      </c>
      <c r="V50" s="1496">
        <v>2.6159461538461501</v>
      </c>
      <c r="W50" s="1496">
        <v>1.8662333333333301</v>
      </c>
      <c r="X50" s="1496">
        <v>3.7933866666666698</v>
      </c>
      <c r="Y50" s="1496">
        <v>2.7233200000000002</v>
      </c>
      <c r="Z50" s="1496">
        <v>1.6875</v>
      </c>
      <c r="AA50" s="561" t="s">
        <v>572</v>
      </c>
      <c r="AB50" s="1496">
        <v>2.31</v>
      </c>
      <c r="AC50" s="1496">
        <v>1.2933333333333299</v>
      </c>
      <c r="AD50" s="1496">
        <v>0.25</v>
      </c>
      <c r="AE50" s="1496">
        <v>2.5361750000000001</v>
      </c>
      <c r="AF50" s="1496">
        <v>2.1545666666666698</v>
      </c>
      <c r="AG50" s="1496">
        <v>0.5</v>
      </c>
      <c r="AH50" s="1496">
        <v>3.0008249999999999</v>
      </c>
      <c r="AI50" s="1496">
        <v>1.7350000000000001</v>
      </c>
      <c r="AJ50" s="1496">
        <v>0.75</v>
      </c>
      <c r="AK50" s="1496">
        <v>3.2059000000000002</v>
      </c>
      <c r="AL50" s="1496">
        <v>1.81</v>
      </c>
      <c r="AM50" s="1496">
        <v>1</v>
      </c>
    </row>
    <row r="51" spans="1:39" s="267" customFormat="1" ht="11.25" customHeight="1" thickBot="1">
      <c r="A51" s="1745" t="s">
        <v>580</v>
      </c>
      <c r="B51" s="1836">
        <v>3.53565</v>
      </c>
      <c r="C51" s="1836">
        <v>3.6333333333333302</v>
      </c>
      <c r="D51" s="1836">
        <v>3.66</v>
      </c>
      <c r="E51" s="1836">
        <v>3.5268999999999999</v>
      </c>
      <c r="F51" s="1836">
        <v>3.395025</v>
      </c>
      <c r="G51" s="1836">
        <v>3.67</v>
      </c>
      <c r="H51" s="1836">
        <v>3.38565</v>
      </c>
      <c r="I51" s="1836">
        <v>3.57</v>
      </c>
      <c r="J51" s="1836">
        <v>3.55</v>
      </c>
      <c r="K51" s="1836">
        <v>3.1135000000000002</v>
      </c>
      <c r="L51" s="1836">
        <v>3.3333333333333299</v>
      </c>
      <c r="M51" s="1836">
        <v>3.04</v>
      </c>
      <c r="N51" s="1745" t="s">
        <v>580</v>
      </c>
      <c r="O51" s="1836">
        <v>3.2963800000000001</v>
      </c>
      <c r="P51" s="1836">
        <v>2.9447777777777802</v>
      </c>
      <c r="Q51" s="1836">
        <v>2.3694285714285699</v>
      </c>
      <c r="R51" s="1836">
        <v>3.2654214285714298</v>
      </c>
      <c r="S51" s="1836">
        <v>3.0038909090909098</v>
      </c>
      <c r="T51" s="1836">
        <v>2.1142500000000002</v>
      </c>
      <c r="U51" s="1836">
        <v>3.4226533333333302</v>
      </c>
      <c r="V51" s="1836">
        <v>2.6766100000000002</v>
      </c>
      <c r="W51" s="1836">
        <v>2.1027499999999999</v>
      </c>
      <c r="X51" s="1836">
        <v>3.5869307692307699</v>
      </c>
      <c r="Y51" s="1836">
        <v>2.6008624999999999</v>
      </c>
      <c r="Z51" s="1836">
        <v>1.921125</v>
      </c>
      <c r="AA51" s="1745" t="s">
        <v>580</v>
      </c>
      <c r="AB51" s="1836">
        <v>2.4811749999999999</v>
      </c>
      <c r="AC51" s="1836">
        <v>2.08</v>
      </c>
      <c r="AD51" s="1836">
        <v>0.25</v>
      </c>
      <c r="AE51" s="1836">
        <v>3.0851000000000002</v>
      </c>
      <c r="AF51" s="1836">
        <v>2.1896666666666702</v>
      </c>
      <c r="AG51" s="1836">
        <v>0.5</v>
      </c>
      <c r="AH51" s="1836">
        <v>3.5211800000000002</v>
      </c>
      <c r="AI51" s="1836">
        <v>0.85</v>
      </c>
      <c r="AJ51" s="1836">
        <v>0.75</v>
      </c>
      <c r="AK51" s="1836">
        <v>3.62568</v>
      </c>
      <c r="AL51" s="1836">
        <v>1.81</v>
      </c>
      <c r="AM51" s="1836">
        <v>1</v>
      </c>
    </row>
    <row r="52" spans="1:39">
      <c r="A52" s="120" t="s">
        <v>384</v>
      </c>
      <c r="B52" s="2265" t="s">
        <v>1299</v>
      </c>
      <c r="C52" s="2265"/>
      <c r="D52" s="2265"/>
      <c r="E52" s="2265"/>
      <c r="F52" s="2265"/>
      <c r="G52" s="994"/>
      <c r="H52" s="953"/>
      <c r="I52" s="953"/>
      <c r="J52" s="953"/>
      <c r="K52" s="953"/>
      <c r="L52" s="953"/>
      <c r="M52" s="953"/>
      <c r="N52" s="120" t="s">
        <v>384</v>
      </c>
      <c r="O52" s="2265" t="s">
        <v>1299</v>
      </c>
      <c r="P52" s="2265"/>
      <c r="Q52" s="2265"/>
      <c r="R52" s="2265"/>
      <c r="S52" s="2265"/>
      <c r="T52" s="2265"/>
      <c r="AA52" s="120" t="s">
        <v>383</v>
      </c>
      <c r="AB52" s="2004" t="s">
        <v>1299</v>
      </c>
      <c r="AC52" s="2004"/>
      <c r="AD52" s="2004"/>
      <c r="AE52" s="2004"/>
      <c r="AF52" s="2004"/>
      <c r="AG52" s="28"/>
      <c r="AH52" s="28"/>
      <c r="AI52" s="28"/>
      <c r="AJ52" s="28"/>
      <c r="AK52" s="28"/>
      <c r="AL52" s="28"/>
    </row>
    <row r="53" spans="1:39" ht="9.75" customHeight="1">
      <c r="A53" s="44" t="s">
        <v>385</v>
      </c>
      <c r="B53" s="2423"/>
      <c r="C53" s="2423"/>
      <c r="D53" s="2423"/>
      <c r="E53" s="55"/>
      <c r="F53" s="55"/>
      <c r="G53" s="55"/>
      <c r="H53" s="953"/>
      <c r="I53" s="953"/>
      <c r="J53" s="953"/>
      <c r="K53" s="953"/>
      <c r="L53" s="953"/>
      <c r="M53" s="953"/>
      <c r="N53" s="117" t="s">
        <v>228</v>
      </c>
      <c r="O53" s="2424"/>
      <c r="P53" s="2424"/>
      <c r="Q53" s="2424"/>
      <c r="R53" s="825"/>
      <c r="S53" s="825"/>
      <c r="T53" s="121"/>
      <c r="U53" s="119"/>
      <c r="V53" s="119"/>
      <c r="W53" s="119"/>
      <c r="X53" s="119"/>
      <c r="Y53" s="119"/>
      <c r="Z53" s="119"/>
      <c r="AA53" s="17" t="s">
        <v>381</v>
      </c>
      <c r="AB53" s="2425"/>
      <c r="AC53" s="2425"/>
      <c r="AD53" s="2425"/>
      <c r="AE53" s="86"/>
      <c r="AF53" s="86"/>
      <c r="AG53" s="28"/>
      <c r="AH53" s="28"/>
      <c r="AI53" s="28"/>
      <c r="AJ53" s="28"/>
      <c r="AK53" s="28"/>
      <c r="AL53" s="28"/>
    </row>
    <row r="54" spans="1:39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</row>
    <row r="55" spans="1:3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</row>
    <row r="56" spans="1:3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1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1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1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</row>
    <row r="62" spans="1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</row>
    <row r="63" spans="1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</row>
    <row r="64" spans="1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1497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1497"/>
      <c r="AB64" s="88"/>
      <c r="AC64" s="88"/>
      <c r="AD64" s="88"/>
      <c r="AE64" s="88"/>
      <c r="AF64" s="88"/>
      <c r="AG64" s="88"/>
      <c r="AH64" s="88"/>
      <c r="AI64" s="88"/>
      <c r="AJ64" s="88"/>
      <c r="AK64" s="88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497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1497"/>
      <c r="AB65" s="88"/>
      <c r="AC65" s="88"/>
      <c r="AD65" s="88"/>
      <c r="AE65" s="88"/>
      <c r="AF65" s="88"/>
      <c r="AG65" s="88"/>
      <c r="AH65" s="88"/>
      <c r="AI65" s="88"/>
      <c r="AJ65" s="88"/>
      <c r="AK65" s="88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497"/>
      <c r="O67" s="1497"/>
      <c r="P67" s="1497"/>
      <c r="Q67" s="1497"/>
      <c r="R67" s="1497"/>
      <c r="S67" s="1497"/>
      <c r="T67" s="1497"/>
      <c r="U67" s="1497"/>
      <c r="V67" s="1497"/>
      <c r="W67" s="1497"/>
      <c r="X67" s="1497"/>
      <c r="Y67" s="1497"/>
      <c r="Z67" s="1497"/>
      <c r="AA67" s="1497"/>
      <c r="AB67" s="1497"/>
      <c r="AC67" s="1497"/>
      <c r="AD67" s="1497"/>
      <c r="AE67" s="1497"/>
      <c r="AF67" s="1497"/>
      <c r="AG67" s="1497"/>
      <c r="AH67" s="1497"/>
      <c r="AI67" s="1497"/>
      <c r="AJ67" s="1497"/>
      <c r="AK67" s="1497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497"/>
      <c r="O68" s="1497"/>
      <c r="P68" s="1497"/>
      <c r="Q68" s="1497"/>
      <c r="R68" s="1497"/>
      <c r="S68" s="1497"/>
      <c r="T68" s="1497"/>
      <c r="U68" s="1497"/>
      <c r="V68" s="1497"/>
      <c r="W68" s="1497"/>
      <c r="X68" s="1497"/>
      <c r="Y68" s="1497"/>
      <c r="Z68" s="1497"/>
      <c r="AA68" s="1497"/>
      <c r="AB68" s="1497"/>
      <c r="AC68" s="1497"/>
      <c r="AD68" s="1497"/>
      <c r="AE68" s="1497"/>
      <c r="AF68" s="1497"/>
      <c r="AG68" s="1497"/>
      <c r="AH68" s="1497"/>
      <c r="AI68" s="1497"/>
      <c r="AJ68" s="1497"/>
      <c r="AK68" s="1497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497"/>
      <c r="O69" s="1497"/>
      <c r="P69" s="1497"/>
      <c r="Q69" s="1497"/>
      <c r="R69" s="1497"/>
      <c r="S69" s="1497"/>
      <c r="T69" s="1497"/>
      <c r="U69" s="1497"/>
      <c r="V69" s="1497"/>
      <c r="W69" s="1497"/>
      <c r="X69" s="1497"/>
      <c r="Y69" s="1497"/>
      <c r="Z69" s="1497"/>
      <c r="AA69" s="1497"/>
      <c r="AB69" s="1497"/>
      <c r="AC69" s="1497"/>
      <c r="AD69" s="1497"/>
      <c r="AE69" s="1497"/>
      <c r="AF69" s="1497"/>
      <c r="AG69" s="1497"/>
      <c r="AH69" s="1497"/>
      <c r="AI69" s="1497"/>
      <c r="AJ69" s="1497"/>
      <c r="AK69" s="1497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497"/>
      <c r="O70" s="1497"/>
      <c r="P70" s="1497"/>
      <c r="Q70" s="1497"/>
      <c r="R70" s="1497"/>
      <c r="S70" s="1497"/>
      <c r="T70" s="1497"/>
      <c r="U70" s="1497"/>
      <c r="V70" s="1497"/>
      <c r="W70" s="1497"/>
      <c r="X70" s="1497"/>
      <c r="Y70" s="1497"/>
      <c r="Z70" s="1497"/>
      <c r="AA70" s="1497"/>
      <c r="AB70" s="1497"/>
      <c r="AC70" s="1497"/>
      <c r="AD70" s="1497"/>
      <c r="AE70" s="1497"/>
      <c r="AF70" s="1497"/>
      <c r="AG70" s="1497"/>
      <c r="AH70" s="1497"/>
      <c r="AI70" s="1497"/>
      <c r="AJ70" s="1497"/>
      <c r="AK70" s="1497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497"/>
      <c r="O71" s="1497"/>
      <c r="P71" s="1497"/>
      <c r="Q71" s="1497"/>
      <c r="R71" s="1497"/>
      <c r="S71" s="1497"/>
      <c r="T71" s="1497"/>
      <c r="U71" s="1497"/>
      <c r="V71" s="1497"/>
      <c r="W71" s="1497"/>
      <c r="X71" s="1497"/>
      <c r="Y71" s="1497"/>
      <c r="Z71" s="1497"/>
      <c r="AA71" s="1497"/>
      <c r="AB71" s="1497"/>
      <c r="AC71" s="1497"/>
      <c r="AD71" s="1497"/>
      <c r="AE71" s="1497"/>
      <c r="AF71" s="1497"/>
      <c r="AG71" s="1497"/>
      <c r="AH71" s="1497"/>
      <c r="AI71" s="1497"/>
      <c r="AJ71" s="1497"/>
      <c r="AK71" s="1497"/>
    </row>
    <row r="72" spans="2:3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1497"/>
      <c r="O72" s="1497"/>
      <c r="P72" s="1497"/>
      <c r="Q72" s="1497"/>
      <c r="R72" s="1497"/>
      <c r="S72" s="1497"/>
      <c r="T72" s="1497"/>
      <c r="U72" s="1497"/>
      <c r="V72" s="1497"/>
      <c r="W72" s="1497"/>
      <c r="X72" s="1497"/>
      <c r="Y72" s="1497"/>
      <c r="Z72" s="1497"/>
      <c r="AA72" s="1497"/>
      <c r="AB72" s="1497"/>
      <c r="AC72" s="1497"/>
      <c r="AD72" s="1497"/>
      <c r="AE72" s="1497"/>
      <c r="AF72" s="1497"/>
      <c r="AG72" s="1497"/>
      <c r="AH72" s="1497"/>
      <c r="AI72" s="1497"/>
      <c r="AJ72" s="1497"/>
      <c r="AK72" s="1497"/>
    </row>
    <row r="73" spans="2:3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1497"/>
      <c r="O73" s="1497"/>
      <c r="P73" s="1497"/>
      <c r="Q73" s="1497"/>
      <c r="R73" s="1497"/>
      <c r="S73" s="1497"/>
      <c r="T73" s="1497"/>
      <c r="U73" s="1497"/>
      <c r="V73" s="1497"/>
      <c r="W73" s="1497"/>
      <c r="X73" s="1497"/>
      <c r="Y73" s="1497"/>
      <c r="Z73" s="1497"/>
      <c r="AA73" s="1497"/>
      <c r="AB73" s="1497"/>
      <c r="AC73" s="1497"/>
      <c r="AD73" s="1497"/>
      <c r="AE73" s="1497"/>
      <c r="AF73" s="1497"/>
      <c r="AG73" s="1497"/>
      <c r="AH73" s="1497"/>
      <c r="AI73" s="1497"/>
      <c r="AJ73" s="1497"/>
      <c r="AK73" s="1497"/>
    </row>
    <row r="74" spans="2:37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1497"/>
      <c r="O74" s="1497"/>
      <c r="P74" s="1497"/>
      <c r="Q74" s="1497"/>
      <c r="R74" s="1497"/>
      <c r="S74" s="1497"/>
      <c r="T74" s="1497"/>
      <c r="U74" s="1497"/>
      <c r="V74" s="1497"/>
      <c r="W74" s="1497"/>
      <c r="X74" s="1497"/>
      <c r="Y74" s="1497"/>
      <c r="Z74" s="1497"/>
      <c r="AA74" s="1497"/>
      <c r="AB74" s="1497"/>
      <c r="AC74" s="1497"/>
      <c r="AD74" s="1497"/>
      <c r="AE74" s="1497"/>
      <c r="AF74" s="1497"/>
      <c r="AG74" s="1497"/>
      <c r="AH74" s="1497"/>
      <c r="AI74" s="1497"/>
      <c r="AJ74" s="1497"/>
      <c r="AK74" s="1497"/>
    </row>
    <row r="75" spans="2:37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</row>
    <row r="76" spans="2:37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2:F52"/>
    <mergeCell ref="O52:T52"/>
    <mergeCell ref="AB52:AF52"/>
    <mergeCell ref="B53:D53"/>
    <mergeCell ref="O53:Q53"/>
    <mergeCell ref="AB53:AD53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49"/>
  <sheetViews>
    <sheetView showWhiteSpace="0" topLeftCell="A31" zoomScale="130" zoomScaleNormal="130" workbookViewId="0">
      <selection activeCell="B31" sqref="B31:G31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3" customHeight="1">
      <c r="B1" s="2426" t="s">
        <v>1455</v>
      </c>
      <c r="C1" s="2426"/>
      <c r="D1" s="2426"/>
      <c r="E1" s="2426"/>
      <c r="F1" s="2427" t="s">
        <v>360</v>
      </c>
      <c r="G1" s="2427"/>
    </row>
    <row r="2" spans="1:15" ht="11.25" customHeight="1">
      <c r="A2" s="2428"/>
      <c r="B2" s="2428"/>
      <c r="C2" s="2428"/>
      <c r="D2" s="2428"/>
      <c r="E2" s="2428"/>
      <c r="F2" s="2429" t="s">
        <v>524</v>
      </c>
      <c r="G2" s="2429"/>
    </row>
    <row r="3" spans="1:15" s="41" customFormat="1" ht="15.75" customHeight="1">
      <c r="A3" s="2430" t="s">
        <v>498</v>
      </c>
      <c r="B3" s="2431" t="s">
        <v>526</v>
      </c>
      <c r="C3" s="2432"/>
      <c r="D3" s="2432"/>
      <c r="E3" s="2432" t="s">
        <v>529</v>
      </c>
      <c r="F3" s="2432"/>
      <c r="G3" s="2432"/>
    </row>
    <row r="4" spans="1:15" s="41" customFormat="1" ht="15.75" customHeight="1">
      <c r="A4" s="2430"/>
      <c r="B4" s="1043" t="s">
        <v>527</v>
      </c>
      <c r="C4" s="115" t="s">
        <v>528</v>
      </c>
      <c r="D4" s="1021" t="s">
        <v>497</v>
      </c>
      <c r="E4" s="1024" t="s">
        <v>527</v>
      </c>
      <c r="F4" s="1024" t="s">
        <v>528</v>
      </c>
      <c r="G4" s="1024" t="s">
        <v>497</v>
      </c>
    </row>
    <row r="5" spans="1:15" ht="14.1" customHeight="1">
      <c r="A5" s="254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4.1" customHeight="1">
      <c r="A6" s="1031">
        <v>2010</v>
      </c>
      <c r="B6" s="337">
        <v>190</v>
      </c>
      <c r="C6" s="337">
        <v>2</v>
      </c>
      <c r="D6" s="337">
        <v>8.0549999999999997</v>
      </c>
      <c r="E6" s="337">
        <v>190</v>
      </c>
      <c r="F6" s="337">
        <v>2</v>
      </c>
      <c r="G6" s="337">
        <v>8.0549999999999997</v>
      </c>
    </row>
    <row r="7" spans="1:15" s="170" customFormat="1" ht="14.1" customHeight="1">
      <c r="A7" s="1030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0" customFormat="1" ht="14.1" customHeight="1">
      <c r="A8" s="1031">
        <v>2012</v>
      </c>
      <c r="B8" s="337">
        <v>22</v>
      </c>
      <c r="C8" s="337">
        <v>3</v>
      </c>
      <c r="D8" s="337">
        <v>12.822499999999998</v>
      </c>
      <c r="E8" s="337">
        <v>22</v>
      </c>
      <c r="F8" s="337">
        <v>3</v>
      </c>
      <c r="G8" s="337">
        <v>12.822499999999998</v>
      </c>
    </row>
    <row r="9" spans="1:15" s="168" customFormat="1" ht="14.1" customHeight="1">
      <c r="A9" s="148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8" customFormat="1" ht="14.1" customHeight="1">
      <c r="A10" s="327">
        <v>2014</v>
      </c>
      <c r="B10" s="315">
        <v>9.9</v>
      </c>
      <c r="C10" s="315">
        <v>5</v>
      </c>
      <c r="D10" s="315">
        <v>7.1399999999999979</v>
      </c>
      <c r="E10" s="315">
        <v>9.9</v>
      </c>
      <c r="F10" s="315">
        <v>5</v>
      </c>
      <c r="G10" s="315">
        <v>7.1399999999999979</v>
      </c>
    </row>
    <row r="11" spans="1:15" s="168" customFormat="1" ht="14.1" customHeight="1">
      <c r="A11" s="148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77" customFormat="1" ht="14.1" customHeight="1">
      <c r="A12" s="413">
        <v>2016</v>
      </c>
      <c r="B12" s="315">
        <v>5</v>
      </c>
      <c r="C12" s="315">
        <v>1</v>
      </c>
      <c r="D12" s="315">
        <v>3.6691666666666669</v>
      </c>
      <c r="E12" s="315">
        <v>5</v>
      </c>
      <c r="F12" s="315">
        <v>1</v>
      </c>
      <c r="G12" s="315">
        <v>3.6691666666666669</v>
      </c>
      <c r="H12" s="168"/>
      <c r="I12" s="256"/>
      <c r="J12" s="168"/>
      <c r="K12" s="168"/>
      <c r="L12" s="168"/>
      <c r="M12" s="168"/>
      <c r="N12" s="168"/>
      <c r="O12" s="168"/>
    </row>
    <row r="13" spans="1:15" s="477" customFormat="1" ht="14.1" customHeight="1">
      <c r="A13" s="399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8"/>
      <c r="I13" s="256"/>
      <c r="J13" s="168"/>
      <c r="K13" s="168"/>
      <c r="L13" s="168"/>
      <c r="M13" s="168"/>
      <c r="N13" s="168"/>
      <c r="O13" s="168"/>
    </row>
    <row r="14" spans="1:15" s="168" customFormat="1" ht="14.1" customHeight="1">
      <c r="A14" s="413">
        <v>2018</v>
      </c>
      <c r="B14" s="315">
        <v>5.5</v>
      </c>
      <c r="C14" s="315">
        <v>0.1</v>
      </c>
      <c r="D14" s="315">
        <v>3.6691666666666669</v>
      </c>
      <c r="E14" s="315">
        <v>5.5</v>
      </c>
      <c r="F14" s="315">
        <v>0.1</v>
      </c>
      <c r="G14" s="315">
        <v>3.6691666666666669</v>
      </c>
    </row>
    <row r="15" spans="1:15" s="9" customFormat="1" ht="14.1" customHeight="1">
      <c r="A15" s="399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8" customFormat="1" ht="14.1" customHeight="1">
      <c r="A16" s="1033">
        <v>2020</v>
      </c>
      <c r="B16" s="318">
        <v>5.5</v>
      </c>
      <c r="C16" s="318">
        <v>0.3</v>
      </c>
      <c r="D16" s="318">
        <v>4.0091666666666663</v>
      </c>
      <c r="E16" s="318">
        <v>5.5</v>
      </c>
      <c r="F16" s="318">
        <v>0.3</v>
      </c>
      <c r="G16" s="318">
        <v>4.0091666666666663</v>
      </c>
    </row>
    <row r="17" spans="1:7" s="168" customFormat="1" ht="14.1" customHeight="1">
      <c r="A17" s="936">
        <v>2021</v>
      </c>
      <c r="B17" s="149">
        <v>5.25</v>
      </c>
      <c r="C17" s="149">
        <v>1</v>
      </c>
      <c r="D17" s="149">
        <v>2.1041666666666665</v>
      </c>
      <c r="E17" s="149">
        <v>5.25</v>
      </c>
      <c r="F17" s="149">
        <v>1</v>
      </c>
      <c r="G17" s="149">
        <v>2.1041666666666665</v>
      </c>
    </row>
    <row r="18" spans="1:7" s="168" customFormat="1" ht="14.1" customHeight="1">
      <c r="A18" s="1229">
        <v>2022</v>
      </c>
      <c r="B18" s="318">
        <f>MAX(B19:B30)</f>
        <v>7.75</v>
      </c>
      <c r="C18" s="318">
        <f>MIN(C19:C30)</f>
        <v>1</v>
      </c>
      <c r="D18" s="318">
        <f>AVERAGE(D19:D30)</f>
        <v>4.6524999999999999</v>
      </c>
      <c r="E18" s="318">
        <f>MAX(E19:E30)</f>
        <v>7.75</v>
      </c>
      <c r="F18" s="318">
        <f>MIN(F19:F30)</f>
        <v>1</v>
      </c>
      <c r="G18" s="318">
        <f>AVERAGE(G19:G30)</f>
        <v>4.6524999999999999</v>
      </c>
    </row>
    <row r="19" spans="1:7" s="168" customFormat="1" ht="14.1" customHeight="1">
      <c r="A19" s="399" t="s">
        <v>580</v>
      </c>
      <c r="B19" s="268">
        <v>5.25</v>
      </c>
      <c r="C19" s="268">
        <v>1</v>
      </c>
      <c r="D19" s="268">
        <v>2.4300000000000002</v>
      </c>
      <c r="E19" s="268">
        <v>5.25</v>
      </c>
      <c r="F19" s="268">
        <v>1</v>
      </c>
      <c r="G19" s="268">
        <v>2.4300000000000002</v>
      </c>
    </row>
    <row r="20" spans="1:7" s="168" customFormat="1" ht="14.1" customHeight="1">
      <c r="A20" s="413" t="s">
        <v>581</v>
      </c>
      <c r="B20" s="310">
        <v>5.25</v>
      </c>
      <c r="C20" s="310">
        <v>1</v>
      </c>
      <c r="D20" s="310">
        <v>2.8</v>
      </c>
      <c r="E20" s="310">
        <v>5.25</v>
      </c>
      <c r="F20" s="310">
        <v>1</v>
      </c>
      <c r="G20" s="310">
        <v>2.8</v>
      </c>
    </row>
    <row r="21" spans="1:7" s="168" customFormat="1" ht="14.1" customHeight="1">
      <c r="A21" s="399" t="s">
        <v>573</v>
      </c>
      <c r="B21" s="268">
        <v>5.25</v>
      </c>
      <c r="C21" s="268">
        <v>1</v>
      </c>
      <c r="D21" s="268">
        <v>2.66</v>
      </c>
      <c r="E21" s="268">
        <v>5.25</v>
      </c>
      <c r="F21" s="268">
        <v>1</v>
      </c>
      <c r="G21" s="268">
        <v>2.66</v>
      </c>
    </row>
    <row r="22" spans="1:7" s="168" customFormat="1" ht="14.1" customHeight="1">
      <c r="A22" s="413" t="s">
        <v>582</v>
      </c>
      <c r="B22" s="310">
        <v>5.25</v>
      </c>
      <c r="C22" s="310">
        <v>1</v>
      </c>
      <c r="D22" s="310">
        <v>4.58</v>
      </c>
      <c r="E22" s="310">
        <v>5.25</v>
      </c>
      <c r="F22" s="310">
        <v>1</v>
      </c>
      <c r="G22" s="310">
        <v>4.58</v>
      </c>
    </row>
    <row r="23" spans="1:7" s="168" customFormat="1" ht="14.1" customHeight="1">
      <c r="A23" s="399" t="s">
        <v>583</v>
      </c>
      <c r="B23" s="268">
        <v>5.5</v>
      </c>
      <c r="C23" s="268">
        <v>2.75</v>
      </c>
      <c r="D23" s="268">
        <v>4.7300000000000004</v>
      </c>
      <c r="E23" s="268">
        <v>5.5</v>
      </c>
      <c r="F23" s="268">
        <v>2.75</v>
      </c>
      <c r="G23" s="268">
        <v>4.7300000000000004</v>
      </c>
    </row>
    <row r="24" spans="1:7" s="168" customFormat="1" ht="14.1" customHeight="1">
      <c r="A24" s="413" t="s">
        <v>574</v>
      </c>
      <c r="B24" s="310">
        <v>5.5</v>
      </c>
      <c r="C24" s="310">
        <v>3</v>
      </c>
      <c r="D24" s="310">
        <v>4.88</v>
      </c>
      <c r="E24" s="310">
        <v>5.5</v>
      </c>
      <c r="F24" s="310">
        <v>3</v>
      </c>
      <c r="G24" s="310">
        <v>4.88</v>
      </c>
    </row>
    <row r="25" spans="1:7" s="168" customFormat="1" ht="14.1" customHeight="1">
      <c r="A25" s="399" t="s">
        <v>576</v>
      </c>
      <c r="B25" s="268">
        <v>6.5</v>
      </c>
      <c r="C25" s="268">
        <v>3.25</v>
      </c>
      <c r="D25" s="268">
        <v>5.34</v>
      </c>
      <c r="E25" s="268">
        <v>6.5</v>
      </c>
      <c r="F25" s="268">
        <v>3.25</v>
      </c>
      <c r="G25" s="268">
        <v>5.34</v>
      </c>
    </row>
    <row r="26" spans="1:7" s="168" customFormat="1" ht="14.1" customHeight="1">
      <c r="A26" s="413" t="s">
        <v>577</v>
      </c>
      <c r="B26" s="310">
        <v>6</v>
      </c>
      <c r="C26" s="310">
        <v>3.5</v>
      </c>
      <c r="D26" s="310">
        <v>5.49</v>
      </c>
      <c r="E26" s="310">
        <v>6</v>
      </c>
      <c r="F26" s="310">
        <v>3.5</v>
      </c>
      <c r="G26" s="310">
        <v>5.49</v>
      </c>
    </row>
    <row r="27" spans="1:7" s="168" customFormat="1" ht="14.1" customHeight="1">
      <c r="A27" s="399" t="s">
        <v>571</v>
      </c>
      <c r="B27" s="268">
        <v>6</v>
      </c>
      <c r="C27" s="268">
        <v>4.5</v>
      </c>
      <c r="D27" s="268">
        <v>5.53</v>
      </c>
      <c r="E27" s="268">
        <v>6</v>
      </c>
      <c r="F27" s="268">
        <v>4.5</v>
      </c>
      <c r="G27" s="268">
        <v>5.53</v>
      </c>
    </row>
    <row r="28" spans="1:7" s="168" customFormat="1" ht="14.1" customHeight="1">
      <c r="A28" s="413" t="s">
        <v>578</v>
      </c>
      <c r="B28" s="310">
        <v>7.75</v>
      </c>
      <c r="C28" s="310">
        <v>5</v>
      </c>
      <c r="D28" s="310">
        <v>5.79</v>
      </c>
      <c r="E28" s="310">
        <v>7.75</v>
      </c>
      <c r="F28" s="310">
        <v>5</v>
      </c>
      <c r="G28" s="310">
        <v>5.79</v>
      </c>
    </row>
    <row r="29" spans="1:7" s="168" customFormat="1" ht="14.1" customHeight="1">
      <c r="A29" s="399" t="s">
        <v>579</v>
      </c>
      <c r="B29" s="268">
        <v>6.25</v>
      </c>
      <c r="C29" s="268">
        <v>5</v>
      </c>
      <c r="D29" s="268">
        <v>5.8</v>
      </c>
      <c r="E29" s="268">
        <v>6.25</v>
      </c>
      <c r="F29" s="268">
        <v>5</v>
      </c>
      <c r="G29" s="268">
        <v>5.8</v>
      </c>
    </row>
    <row r="30" spans="1:7" s="168" customFormat="1" ht="14.1" customHeight="1">
      <c r="A30" s="413" t="s">
        <v>572</v>
      </c>
      <c r="B30" s="310">
        <v>7.25</v>
      </c>
      <c r="C30" s="310">
        <v>5</v>
      </c>
      <c r="D30" s="310">
        <v>5.8</v>
      </c>
      <c r="E30" s="310">
        <v>7.25</v>
      </c>
      <c r="F30" s="310">
        <v>5</v>
      </c>
      <c r="G30" s="310">
        <v>5.8</v>
      </c>
    </row>
    <row r="31" spans="1:7" s="168" customFormat="1" ht="14.1" customHeight="1">
      <c r="A31" s="936">
        <v>2023</v>
      </c>
      <c r="B31" s="149">
        <f>MAX(B32:B43)</f>
        <v>9.75</v>
      </c>
      <c r="C31" s="149">
        <f>MIN(C32:C43)</f>
        <v>4.25</v>
      </c>
      <c r="D31" s="149">
        <f>AVERAGE(D32:D43)</f>
        <v>6.6816666666666658</v>
      </c>
      <c r="E31" s="149">
        <f>MAX(E32:E43)</f>
        <v>9.75</v>
      </c>
      <c r="F31" s="149">
        <f>MIN(F32:F43)</f>
        <v>4.25</v>
      </c>
      <c r="G31" s="149">
        <f>AVERAGE(G32:G43)</f>
        <v>6.6816666666666658</v>
      </c>
    </row>
    <row r="32" spans="1:7" s="168" customFormat="1" ht="14.1" customHeight="1">
      <c r="A32" s="413" t="s">
        <v>580</v>
      </c>
      <c r="B32" s="310">
        <v>7.5</v>
      </c>
      <c r="C32" s="310">
        <v>5.25</v>
      </c>
      <c r="D32" s="310">
        <v>6.66</v>
      </c>
      <c r="E32" s="310">
        <v>7.5</v>
      </c>
      <c r="F32" s="310">
        <v>5.25</v>
      </c>
      <c r="G32" s="310">
        <v>6.66</v>
      </c>
    </row>
    <row r="33" spans="1:7" s="168" customFormat="1" ht="14.1" customHeight="1">
      <c r="A33" s="399" t="s">
        <v>581</v>
      </c>
      <c r="B33" s="268">
        <v>7.5</v>
      </c>
      <c r="C33" s="268">
        <v>5</v>
      </c>
      <c r="D33" s="268">
        <v>6.15</v>
      </c>
      <c r="E33" s="268">
        <v>7.5</v>
      </c>
      <c r="F33" s="268">
        <v>5</v>
      </c>
      <c r="G33" s="268">
        <v>6.15</v>
      </c>
    </row>
    <row r="34" spans="1:7" s="168" customFormat="1" ht="14.1" customHeight="1">
      <c r="A34" s="413" t="s">
        <v>573</v>
      </c>
      <c r="B34" s="310">
        <v>7.5</v>
      </c>
      <c r="C34" s="310">
        <v>5</v>
      </c>
      <c r="D34" s="310">
        <v>6.03</v>
      </c>
      <c r="E34" s="310">
        <v>7.5</v>
      </c>
      <c r="F34" s="310">
        <v>5</v>
      </c>
      <c r="G34" s="310">
        <v>6.03</v>
      </c>
    </row>
    <row r="35" spans="1:7" s="168" customFormat="1" ht="14.1" customHeight="1">
      <c r="A35" s="399" t="s">
        <v>582</v>
      </c>
      <c r="B35" s="268">
        <v>7.5</v>
      </c>
      <c r="C35" s="268">
        <v>5</v>
      </c>
      <c r="D35" s="268">
        <v>6.04</v>
      </c>
      <c r="E35" s="268">
        <v>7.5</v>
      </c>
      <c r="F35" s="268">
        <v>5</v>
      </c>
      <c r="G35" s="268">
        <v>6.04</v>
      </c>
    </row>
    <row r="36" spans="1:7" s="168" customFormat="1" ht="14.1" customHeight="1">
      <c r="A36" s="413" t="s">
        <v>583</v>
      </c>
      <c r="B36" s="310">
        <v>7.5</v>
      </c>
      <c r="C36" s="310">
        <v>5</v>
      </c>
      <c r="D36" s="310">
        <v>6.03</v>
      </c>
      <c r="E36" s="310">
        <v>7.5</v>
      </c>
      <c r="F36" s="310">
        <v>5</v>
      </c>
      <c r="G36" s="310">
        <v>6.03</v>
      </c>
    </row>
    <row r="37" spans="1:7" s="168" customFormat="1" ht="14.1" customHeight="1">
      <c r="A37" s="399" t="s">
        <v>574</v>
      </c>
      <c r="B37" s="268">
        <v>7.5</v>
      </c>
      <c r="C37" s="268">
        <v>4.5</v>
      </c>
      <c r="D37" s="268">
        <v>6.06</v>
      </c>
      <c r="E37" s="268">
        <v>7.5</v>
      </c>
      <c r="F37" s="268">
        <v>4.5</v>
      </c>
      <c r="G37" s="268">
        <v>6.06</v>
      </c>
    </row>
    <row r="38" spans="1:7" s="168" customFormat="1" ht="14.1" customHeight="1">
      <c r="A38" s="413" t="s">
        <v>576</v>
      </c>
      <c r="B38" s="310">
        <v>8</v>
      </c>
      <c r="C38" s="310">
        <v>5.5</v>
      </c>
      <c r="D38" s="310">
        <v>6.3</v>
      </c>
      <c r="E38" s="310">
        <v>8</v>
      </c>
      <c r="F38" s="310">
        <v>5.5</v>
      </c>
      <c r="G38" s="310">
        <v>6.3</v>
      </c>
    </row>
    <row r="39" spans="1:7" s="168" customFormat="1" ht="14.1" customHeight="1">
      <c r="A39" s="399" t="s">
        <v>577</v>
      </c>
      <c r="B39" s="268">
        <v>8</v>
      </c>
      <c r="C39" s="268">
        <v>4.25</v>
      </c>
      <c r="D39" s="268">
        <v>6.28</v>
      </c>
      <c r="E39" s="268">
        <v>8</v>
      </c>
      <c r="F39" s="268">
        <v>4.25</v>
      </c>
      <c r="G39" s="268">
        <v>6.28</v>
      </c>
    </row>
    <row r="40" spans="1:7" s="168" customFormat="1" ht="14.1" customHeight="1">
      <c r="A40" s="413" t="s">
        <v>571</v>
      </c>
      <c r="B40" s="310">
        <v>7.75</v>
      </c>
      <c r="C40" s="310">
        <v>5.5</v>
      </c>
      <c r="D40" s="310">
        <v>6.41</v>
      </c>
      <c r="E40" s="310">
        <v>7.75</v>
      </c>
      <c r="F40" s="310">
        <v>5.5</v>
      </c>
      <c r="G40" s="310">
        <v>6.41</v>
      </c>
    </row>
    <row r="41" spans="1:7" s="168" customFormat="1" ht="14.1" customHeight="1">
      <c r="A41" s="399" t="s">
        <v>578</v>
      </c>
      <c r="B41" s="268">
        <v>8.75</v>
      </c>
      <c r="C41" s="268">
        <v>6</v>
      </c>
      <c r="D41" s="268">
        <v>7.35</v>
      </c>
      <c r="E41" s="268">
        <v>8.75</v>
      </c>
      <c r="F41" s="268">
        <v>6</v>
      </c>
      <c r="G41" s="268">
        <v>7.35</v>
      </c>
    </row>
    <row r="42" spans="1:7" s="168" customFormat="1" ht="14.1" customHeight="1">
      <c r="A42" s="413" t="s">
        <v>579</v>
      </c>
      <c r="B42" s="310">
        <v>9.25</v>
      </c>
      <c r="C42" s="310">
        <v>7.25</v>
      </c>
      <c r="D42" s="310">
        <v>8.0299999999999994</v>
      </c>
      <c r="E42" s="310">
        <v>9.25</v>
      </c>
      <c r="F42" s="310">
        <v>7.25</v>
      </c>
      <c r="G42" s="310">
        <v>8.0299999999999994</v>
      </c>
    </row>
    <row r="43" spans="1:7" s="168" customFormat="1" ht="14.1" customHeight="1">
      <c r="A43" s="399" t="s">
        <v>572</v>
      </c>
      <c r="B43" s="268">
        <v>9.75</v>
      </c>
      <c r="C43" s="268">
        <v>7.25</v>
      </c>
      <c r="D43" s="268">
        <v>8.84</v>
      </c>
      <c r="E43" s="268">
        <v>9.75</v>
      </c>
      <c r="F43" s="268">
        <v>7.25</v>
      </c>
      <c r="G43" s="268">
        <v>8.84</v>
      </c>
    </row>
    <row r="44" spans="1:7" s="168" customFormat="1" ht="14.1" customHeight="1">
      <c r="A44" s="1771">
        <v>2024</v>
      </c>
      <c r="B44" s="310"/>
      <c r="C44" s="310"/>
      <c r="D44" s="310"/>
      <c r="E44" s="310"/>
      <c r="F44" s="310"/>
      <c r="G44" s="310"/>
    </row>
    <row r="45" spans="1:7" s="168" customFormat="1" ht="14.1" customHeight="1" thickBot="1">
      <c r="A45" s="1270" t="s">
        <v>580</v>
      </c>
      <c r="B45" s="749">
        <v>10</v>
      </c>
      <c r="C45" s="749">
        <v>7.75</v>
      </c>
      <c r="D45" s="749">
        <v>9.3800000000000008</v>
      </c>
      <c r="E45" s="749">
        <v>10</v>
      </c>
      <c r="F45" s="749">
        <v>7.75</v>
      </c>
      <c r="G45" s="749">
        <v>9.3800000000000008</v>
      </c>
    </row>
    <row r="46" spans="1:7">
      <c r="A46" s="120" t="s">
        <v>387</v>
      </c>
      <c r="B46" s="727" t="s">
        <v>1306</v>
      </c>
      <c r="C46" s="727"/>
      <c r="D46" s="727"/>
      <c r="E46" s="727"/>
      <c r="F46" s="66"/>
      <c r="G46" s="9"/>
    </row>
    <row r="49" spans="2:7">
      <c r="B49" s="88"/>
      <c r="C49" s="88"/>
      <c r="D49" s="88"/>
      <c r="E49" s="88"/>
      <c r="F49" s="88"/>
      <c r="G49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R28" activePane="bottomRight" state="frozen"/>
      <selection activeCell="F85" sqref="F85"/>
      <selection pane="topRight" activeCell="F85" sqref="F85"/>
      <selection pane="bottomLeft" activeCell="F85" sqref="F85"/>
      <selection pane="bottomRight" activeCell="U36" sqref="U36:AB39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62" customFormat="1" ht="27.75" customHeight="1">
      <c r="A2" s="2436" t="s">
        <v>1065</v>
      </c>
      <c r="B2" s="2436"/>
      <c r="C2" s="2436"/>
      <c r="D2" s="2436"/>
      <c r="E2" s="2436"/>
      <c r="F2" s="2437" t="s">
        <v>1146</v>
      </c>
      <c r="G2" s="2437"/>
      <c r="H2" s="1038"/>
      <c r="I2" s="2437" t="s">
        <v>886</v>
      </c>
      <c r="J2" s="2437"/>
      <c r="K2" s="2437"/>
      <c r="L2" s="2437"/>
      <c r="M2" s="2437"/>
      <c r="N2" s="2437"/>
      <c r="O2" s="2451" t="s">
        <v>855</v>
      </c>
      <c r="P2" s="2451"/>
      <c r="Q2" s="2451"/>
      <c r="R2" s="2437" t="s">
        <v>1146</v>
      </c>
      <c r="S2" s="2437"/>
      <c r="T2" s="2436" t="s">
        <v>854</v>
      </c>
      <c r="U2" s="2436"/>
      <c r="V2" s="2436"/>
      <c r="W2" s="2436"/>
      <c r="X2" s="2436"/>
      <c r="Y2" s="2436"/>
      <c r="Z2" s="2437" t="s">
        <v>1147</v>
      </c>
      <c r="AA2" s="2437"/>
      <c r="AB2" s="2437"/>
    </row>
    <row r="3" spans="1:28" s="44" customFormat="1" ht="21.75" customHeight="1">
      <c r="A3" s="2445" t="s">
        <v>855</v>
      </c>
      <c r="B3" s="2445"/>
      <c r="C3" s="2445"/>
      <c r="D3" s="2445"/>
      <c r="E3" s="2445"/>
      <c r="F3" s="2429" t="s">
        <v>24</v>
      </c>
      <c r="G3" s="2429"/>
      <c r="H3" s="73"/>
      <c r="K3" s="70"/>
      <c r="L3" s="70"/>
      <c r="M3" s="2441"/>
      <c r="N3" s="2441"/>
      <c r="O3" s="124"/>
      <c r="P3" s="124"/>
      <c r="R3" s="2441" t="s">
        <v>24</v>
      </c>
      <c r="S3" s="2441"/>
      <c r="T3" s="2450" t="s">
        <v>1066</v>
      </c>
      <c r="U3" s="2450"/>
      <c r="V3" s="2450"/>
      <c r="W3" s="2450"/>
      <c r="X3" s="2450"/>
      <c r="Y3" s="2450"/>
      <c r="Z3" s="2450"/>
      <c r="AA3" s="2441" t="s">
        <v>24</v>
      </c>
      <c r="AB3" s="2441"/>
    </row>
    <row r="4" spans="1:28" s="143" customFormat="1" ht="16.5" customHeight="1">
      <c r="A4" s="2442" t="s">
        <v>498</v>
      </c>
      <c r="B4" s="2443" t="s">
        <v>853</v>
      </c>
      <c r="C4" s="2443"/>
      <c r="D4" s="2443"/>
      <c r="E4" s="2443"/>
      <c r="F4" s="2443"/>
      <c r="G4" s="2443"/>
      <c r="H4" s="2210" t="s">
        <v>498</v>
      </c>
      <c r="I4" s="2318" t="s">
        <v>889</v>
      </c>
      <c r="J4" s="2439"/>
      <c r="K4" s="2439"/>
      <c r="L4" s="2439"/>
      <c r="M4" s="2439"/>
      <c r="N4" s="2439"/>
      <c r="O4" s="2439"/>
      <c r="P4" s="2439"/>
      <c r="Q4" s="2439"/>
      <c r="R4" s="2440"/>
      <c r="S4" s="2210" t="s">
        <v>498</v>
      </c>
      <c r="T4" s="2430" t="s">
        <v>498</v>
      </c>
      <c r="U4" s="2318" t="s">
        <v>75</v>
      </c>
      <c r="V4" s="2439"/>
      <c r="W4" s="2439"/>
      <c r="X4" s="2440"/>
      <c r="Y4" s="2439" t="s">
        <v>76</v>
      </c>
      <c r="Z4" s="2439"/>
      <c r="AA4" s="2439"/>
      <c r="AB4" s="2440"/>
    </row>
    <row r="5" spans="1:28" s="126" customFormat="1" ht="12.75" customHeight="1">
      <c r="A5" s="2211"/>
      <c r="B5" s="2444" t="s">
        <v>856</v>
      </c>
      <c r="C5" s="2444"/>
      <c r="D5" s="2444"/>
      <c r="E5" s="2444"/>
      <c r="F5" s="2432" t="s">
        <v>885</v>
      </c>
      <c r="G5" s="2432"/>
      <c r="H5" s="2211"/>
      <c r="I5" s="2213" t="s">
        <v>885</v>
      </c>
      <c r="J5" s="2447"/>
      <c r="K5" s="2444" t="s">
        <v>143</v>
      </c>
      <c r="L5" s="2444"/>
      <c r="M5" s="2444"/>
      <c r="N5" s="2444"/>
      <c r="O5" s="2213" t="s">
        <v>494</v>
      </c>
      <c r="P5" s="2447"/>
      <c r="Q5" s="2447"/>
      <c r="R5" s="2448"/>
      <c r="S5" s="2211"/>
      <c r="T5" s="2430"/>
      <c r="U5" s="2237" t="s">
        <v>838</v>
      </c>
      <c r="V5" s="2237" t="s">
        <v>1238</v>
      </c>
      <c r="W5" s="2237" t="s">
        <v>814</v>
      </c>
      <c r="X5" s="2237" t="s">
        <v>77</v>
      </c>
      <c r="Y5" s="2237" t="s">
        <v>839</v>
      </c>
      <c r="Z5" s="2449" t="s">
        <v>74</v>
      </c>
      <c r="AA5" s="2237" t="s">
        <v>29</v>
      </c>
      <c r="AB5" s="2438" t="s">
        <v>816</v>
      </c>
    </row>
    <row r="6" spans="1:28" s="84" customFormat="1" ht="25.5" customHeight="1">
      <c r="A6" s="2212"/>
      <c r="B6" s="1024" t="s">
        <v>73</v>
      </c>
      <c r="C6" s="1024" t="s">
        <v>74</v>
      </c>
      <c r="D6" s="1024" t="s">
        <v>29</v>
      </c>
      <c r="E6" s="1024" t="s">
        <v>811</v>
      </c>
      <c r="F6" s="1024" t="s">
        <v>73</v>
      </c>
      <c r="G6" s="1024" t="s">
        <v>74</v>
      </c>
      <c r="H6" s="2212"/>
      <c r="I6" s="1024" t="s">
        <v>837</v>
      </c>
      <c r="J6" s="1024" t="s">
        <v>812</v>
      </c>
      <c r="K6" s="1024" t="s">
        <v>815</v>
      </c>
      <c r="L6" s="1024" t="s">
        <v>74</v>
      </c>
      <c r="M6" s="1024" t="s">
        <v>29</v>
      </c>
      <c r="N6" s="1024" t="s">
        <v>836</v>
      </c>
      <c r="O6" s="1024" t="s">
        <v>857</v>
      </c>
      <c r="P6" s="1024" t="s">
        <v>74</v>
      </c>
      <c r="Q6" s="1024" t="s">
        <v>813</v>
      </c>
      <c r="R6" s="1024" t="s">
        <v>890</v>
      </c>
      <c r="S6" s="2212"/>
      <c r="T6" s="2430"/>
      <c r="U6" s="2237"/>
      <c r="V6" s="2237"/>
      <c r="W6" s="2237"/>
      <c r="X6" s="2237"/>
      <c r="Y6" s="2237"/>
      <c r="Z6" s="2249"/>
      <c r="AA6" s="2237"/>
      <c r="AB6" s="2438"/>
    </row>
    <row r="7" spans="1:28" s="58" customFormat="1" ht="13.5" customHeight="1">
      <c r="A7" s="142">
        <v>1993</v>
      </c>
      <c r="B7" s="144">
        <v>1738.3</v>
      </c>
      <c r="C7" s="144">
        <v>1769.7</v>
      </c>
      <c r="D7" s="144">
        <v>-31.9</v>
      </c>
      <c r="E7" s="142">
        <v>64492</v>
      </c>
      <c r="F7" s="144">
        <v>195.1</v>
      </c>
      <c r="G7" s="144">
        <v>91.85</v>
      </c>
      <c r="H7" s="142">
        <v>1993</v>
      </c>
      <c r="I7" s="144">
        <v>54.36</v>
      </c>
      <c r="J7" s="142">
        <v>826</v>
      </c>
      <c r="K7" s="144">
        <v>835.92</v>
      </c>
      <c r="L7" s="144">
        <v>813.51</v>
      </c>
      <c r="M7" s="144">
        <v>3.23</v>
      </c>
      <c r="N7" s="142">
        <v>18276</v>
      </c>
      <c r="O7" s="144">
        <v>2769.32</v>
      </c>
      <c r="P7" s="144">
        <v>2675.06</v>
      </c>
      <c r="Q7" s="144">
        <v>25.69</v>
      </c>
      <c r="R7" s="142">
        <v>83594</v>
      </c>
      <c r="S7" s="142">
        <v>1993</v>
      </c>
      <c r="T7" s="83" t="s">
        <v>559</v>
      </c>
      <c r="U7" s="144">
        <v>665.13</v>
      </c>
      <c r="V7" s="144">
        <v>188.71</v>
      </c>
      <c r="W7" s="144">
        <v>476.42</v>
      </c>
      <c r="X7" s="142">
        <v>6435</v>
      </c>
      <c r="Y7" s="144">
        <v>186.68</v>
      </c>
      <c r="Z7" s="144">
        <v>511.26</v>
      </c>
      <c r="AA7" s="144">
        <v>-330.69</v>
      </c>
      <c r="AB7" s="142">
        <v>16871</v>
      </c>
    </row>
    <row r="8" spans="1:28" s="58" customFormat="1" ht="13.5" customHeight="1">
      <c r="A8" s="342">
        <v>1994</v>
      </c>
      <c r="B8" s="343">
        <v>1702.56</v>
      </c>
      <c r="C8" s="343">
        <v>1683.24</v>
      </c>
      <c r="D8" s="343">
        <v>18.82</v>
      </c>
      <c r="E8" s="342">
        <v>63804</v>
      </c>
      <c r="F8" s="343">
        <v>242.36</v>
      </c>
      <c r="G8" s="343">
        <v>105.74</v>
      </c>
      <c r="H8" s="342">
        <v>1994</v>
      </c>
      <c r="I8" s="343">
        <v>68.319999999999993</v>
      </c>
      <c r="J8" s="342">
        <v>888</v>
      </c>
      <c r="K8" s="343">
        <v>851.89</v>
      </c>
      <c r="L8" s="343">
        <v>801.25</v>
      </c>
      <c r="M8" s="343">
        <v>14.8</v>
      </c>
      <c r="N8" s="342">
        <v>18794</v>
      </c>
      <c r="O8" s="343">
        <v>2796.81</v>
      </c>
      <c r="P8" s="343">
        <v>2590.23</v>
      </c>
      <c r="Q8" s="343">
        <v>101.94</v>
      </c>
      <c r="R8" s="342">
        <v>83486</v>
      </c>
      <c r="S8" s="342">
        <v>1994</v>
      </c>
      <c r="T8" s="344" t="s">
        <v>560</v>
      </c>
      <c r="U8" s="343">
        <v>838.06</v>
      </c>
      <c r="V8" s="343">
        <v>239.33</v>
      </c>
      <c r="W8" s="343">
        <v>598.73</v>
      </c>
      <c r="X8" s="342">
        <v>6345</v>
      </c>
      <c r="Y8" s="343">
        <v>310.63</v>
      </c>
      <c r="Z8" s="343">
        <v>617.73</v>
      </c>
      <c r="AA8" s="343">
        <v>-307.10000000000002</v>
      </c>
      <c r="AB8" s="342">
        <v>16856</v>
      </c>
    </row>
    <row r="9" spans="1:28" s="58" customFormat="1" ht="13.5" customHeight="1">
      <c r="A9" s="142">
        <v>1995</v>
      </c>
      <c r="B9" s="144">
        <v>1982.08</v>
      </c>
      <c r="C9" s="144">
        <v>1869.11</v>
      </c>
      <c r="D9" s="144">
        <v>112.37</v>
      </c>
      <c r="E9" s="142">
        <v>63803</v>
      </c>
      <c r="F9" s="144">
        <v>335.65</v>
      </c>
      <c r="G9" s="144">
        <v>151.38999999999999</v>
      </c>
      <c r="H9" s="142">
        <v>1995</v>
      </c>
      <c r="I9" s="144">
        <v>90.76</v>
      </c>
      <c r="J9" s="142">
        <v>966</v>
      </c>
      <c r="K9" s="144">
        <v>943.89</v>
      </c>
      <c r="L9" s="144">
        <v>831.99</v>
      </c>
      <c r="M9" s="144">
        <v>56.56</v>
      </c>
      <c r="N9" s="142">
        <v>20083</v>
      </c>
      <c r="O9" s="144">
        <v>3261.62</v>
      </c>
      <c r="P9" s="144">
        <v>2964.39</v>
      </c>
      <c r="Q9" s="144">
        <v>259.69</v>
      </c>
      <c r="R9" s="142">
        <v>84852</v>
      </c>
      <c r="S9" s="142">
        <v>1995</v>
      </c>
      <c r="T9" s="83" t="s">
        <v>561</v>
      </c>
      <c r="U9" s="144">
        <v>840.64</v>
      </c>
      <c r="V9" s="144">
        <v>310.44</v>
      </c>
      <c r="W9" s="144">
        <v>530.20000000000005</v>
      </c>
      <c r="X9" s="142">
        <v>6281</v>
      </c>
      <c r="Y9" s="144">
        <v>235.97</v>
      </c>
      <c r="Z9" s="144">
        <v>528.04</v>
      </c>
      <c r="AA9" s="144">
        <v>-292.07</v>
      </c>
      <c r="AB9" s="142">
        <v>16459</v>
      </c>
    </row>
    <row r="10" spans="1:28" s="58" customFormat="1" ht="13.5" customHeight="1">
      <c r="A10" s="342">
        <v>1996</v>
      </c>
      <c r="B10" s="343">
        <v>2249.11</v>
      </c>
      <c r="C10" s="343">
        <v>2220.5</v>
      </c>
      <c r="D10" s="343">
        <v>28.11</v>
      </c>
      <c r="E10" s="342">
        <v>63731</v>
      </c>
      <c r="F10" s="343">
        <v>408.46</v>
      </c>
      <c r="G10" s="343">
        <v>221.73</v>
      </c>
      <c r="H10" s="342">
        <v>1996</v>
      </c>
      <c r="I10" s="343">
        <v>98.72</v>
      </c>
      <c r="J10" s="342">
        <v>1016</v>
      </c>
      <c r="K10" s="343">
        <v>1132.23</v>
      </c>
      <c r="L10" s="343">
        <v>939.75</v>
      </c>
      <c r="M10" s="343">
        <v>131.49</v>
      </c>
      <c r="N10" s="342">
        <v>21140</v>
      </c>
      <c r="O10" s="343">
        <v>3789.8</v>
      </c>
      <c r="P10" s="343">
        <v>3381.98</v>
      </c>
      <c r="Q10" s="343">
        <v>258.32</v>
      </c>
      <c r="R10" s="342">
        <v>85887</v>
      </c>
      <c r="S10" s="342">
        <v>1996</v>
      </c>
      <c r="T10" s="344" t="s">
        <v>562</v>
      </c>
      <c r="U10" s="343">
        <v>936.03</v>
      </c>
      <c r="V10" s="343">
        <v>301.69</v>
      </c>
      <c r="W10" s="343">
        <v>634.34</v>
      </c>
      <c r="X10" s="342">
        <v>6215</v>
      </c>
      <c r="Y10" s="343">
        <v>410.88</v>
      </c>
      <c r="Z10" s="343">
        <v>615.38</v>
      </c>
      <c r="AA10" s="343">
        <v>-204.5</v>
      </c>
      <c r="AB10" s="342">
        <v>16273</v>
      </c>
    </row>
    <row r="11" spans="1:28" s="58" customFormat="1" ht="13.5" customHeight="1">
      <c r="A11" s="142">
        <v>1997</v>
      </c>
      <c r="B11" s="144">
        <v>2574.08</v>
      </c>
      <c r="C11" s="144">
        <v>2556.81</v>
      </c>
      <c r="D11" s="144">
        <v>16.77</v>
      </c>
      <c r="E11" s="142">
        <v>62723</v>
      </c>
      <c r="F11" s="144">
        <v>564.1</v>
      </c>
      <c r="G11" s="144">
        <v>335.64</v>
      </c>
      <c r="H11" s="142">
        <v>1997</v>
      </c>
      <c r="I11" s="144">
        <v>134.21</v>
      </c>
      <c r="J11" s="142">
        <v>1125</v>
      </c>
      <c r="K11" s="144">
        <v>1414.22</v>
      </c>
      <c r="L11" s="144">
        <v>1180.04</v>
      </c>
      <c r="M11" s="144">
        <v>144.47999999999999</v>
      </c>
      <c r="N11" s="142">
        <v>22194</v>
      </c>
      <c r="O11" s="144">
        <v>4552.3999999999996</v>
      </c>
      <c r="P11" s="144">
        <v>4072.49</v>
      </c>
      <c r="Q11" s="144">
        <v>295.45999999999998</v>
      </c>
      <c r="R11" s="142">
        <v>86042</v>
      </c>
      <c r="S11" s="142">
        <v>1997</v>
      </c>
      <c r="T11" s="83" t="s">
        <v>563</v>
      </c>
      <c r="U11" s="144">
        <v>1059.3900000000001</v>
      </c>
      <c r="V11" s="144">
        <v>288.75</v>
      </c>
      <c r="W11" s="144">
        <v>770.64</v>
      </c>
      <c r="X11" s="142">
        <v>6129</v>
      </c>
      <c r="Y11" s="144">
        <v>440.48</v>
      </c>
      <c r="Z11" s="144">
        <v>701.5</v>
      </c>
      <c r="AA11" s="144">
        <v>-261.02</v>
      </c>
      <c r="AB11" s="142">
        <v>16342</v>
      </c>
    </row>
    <row r="12" spans="1:28" s="58" customFormat="1" ht="13.5" customHeight="1">
      <c r="A12" s="342">
        <v>1998</v>
      </c>
      <c r="B12" s="343">
        <v>2815.17</v>
      </c>
      <c r="C12" s="343">
        <v>2808.69</v>
      </c>
      <c r="D12" s="343">
        <v>-5.98</v>
      </c>
      <c r="E12" s="342">
        <v>63583</v>
      </c>
      <c r="F12" s="343">
        <v>585.59</v>
      </c>
      <c r="G12" s="343">
        <v>326.62</v>
      </c>
      <c r="H12" s="342">
        <v>1998</v>
      </c>
      <c r="I12" s="343">
        <v>149.43</v>
      </c>
      <c r="J12" s="342">
        <v>1262</v>
      </c>
      <c r="K12" s="343">
        <v>1696.46</v>
      </c>
      <c r="L12" s="343">
        <v>1457.83</v>
      </c>
      <c r="M12" s="343">
        <v>158.35</v>
      </c>
      <c r="N12" s="342">
        <v>22893</v>
      </c>
      <c r="O12" s="343">
        <v>5097.22</v>
      </c>
      <c r="P12" s="343">
        <v>4593.1400000000003</v>
      </c>
      <c r="Q12" s="343">
        <v>301.8</v>
      </c>
      <c r="R12" s="342">
        <v>87738</v>
      </c>
      <c r="S12" s="342">
        <v>1998</v>
      </c>
      <c r="T12" s="344" t="s">
        <v>564</v>
      </c>
      <c r="U12" s="343">
        <v>1171.56</v>
      </c>
      <c r="V12" s="343">
        <v>384.7</v>
      </c>
      <c r="W12" s="343">
        <v>786.86</v>
      </c>
      <c r="X12" s="342">
        <v>6178</v>
      </c>
      <c r="Y12" s="343">
        <v>492.91</v>
      </c>
      <c r="Z12" s="343">
        <v>766.77</v>
      </c>
      <c r="AA12" s="343">
        <v>-296.7</v>
      </c>
      <c r="AB12" s="342">
        <v>16114</v>
      </c>
    </row>
    <row r="13" spans="1:28" s="58" customFormat="1" ht="13.5" customHeight="1">
      <c r="A13" s="142">
        <v>1999</v>
      </c>
      <c r="B13" s="144">
        <v>3161.26</v>
      </c>
      <c r="C13" s="144">
        <v>3164.79</v>
      </c>
      <c r="D13" s="144">
        <v>-16.66</v>
      </c>
      <c r="E13" s="142">
        <v>62419</v>
      </c>
      <c r="F13" s="144">
        <v>713.65</v>
      </c>
      <c r="G13" s="144">
        <v>447.39</v>
      </c>
      <c r="H13" s="142">
        <v>1999</v>
      </c>
      <c r="I13" s="144">
        <v>149.69999999999999</v>
      </c>
      <c r="J13" s="142">
        <v>1311</v>
      </c>
      <c r="K13" s="144">
        <v>2094.5100000000002</v>
      </c>
      <c r="L13" s="144">
        <v>1760.92</v>
      </c>
      <c r="M13" s="144">
        <v>178.44</v>
      </c>
      <c r="N13" s="142">
        <v>24281</v>
      </c>
      <c r="O13" s="144">
        <v>5969.42</v>
      </c>
      <c r="P13" s="144">
        <v>5373.1</v>
      </c>
      <c r="Q13" s="144">
        <v>311.48</v>
      </c>
      <c r="R13" s="142">
        <v>88011</v>
      </c>
      <c r="S13" s="142">
        <v>1999</v>
      </c>
      <c r="T13" s="83" t="s">
        <v>565</v>
      </c>
      <c r="U13" s="144">
        <v>1159.3499999999999</v>
      </c>
      <c r="V13" s="144">
        <v>363.37</v>
      </c>
      <c r="W13" s="144">
        <v>795.98</v>
      </c>
      <c r="X13" s="142">
        <v>6061</v>
      </c>
      <c r="Y13" s="144">
        <v>598.45000000000005</v>
      </c>
      <c r="Z13" s="144">
        <v>766</v>
      </c>
      <c r="AA13" s="144">
        <v>-532.37</v>
      </c>
      <c r="AB13" s="142">
        <v>16036</v>
      </c>
    </row>
    <row r="14" spans="1:28" s="58" customFormat="1" ht="13.5" customHeight="1">
      <c r="A14" s="342">
        <v>2000</v>
      </c>
      <c r="B14" s="343">
        <v>3726.27</v>
      </c>
      <c r="C14" s="343">
        <v>3532.16</v>
      </c>
      <c r="D14" s="343">
        <v>24.58</v>
      </c>
      <c r="E14" s="342">
        <v>62091</v>
      </c>
      <c r="F14" s="343">
        <v>967.5</v>
      </c>
      <c r="G14" s="343">
        <v>548.08000000000004</v>
      </c>
      <c r="H14" s="342">
        <v>2000</v>
      </c>
      <c r="I14" s="343">
        <v>220.46</v>
      </c>
      <c r="J14" s="342">
        <v>1280</v>
      </c>
      <c r="K14" s="343">
        <v>3267.62</v>
      </c>
      <c r="L14" s="343">
        <v>2462.09</v>
      </c>
      <c r="M14" s="343">
        <v>309.97000000000003</v>
      </c>
      <c r="N14" s="342">
        <v>25975</v>
      </c>
      <c r="O14" s="343">
        <v>7961.39</v>
      </c>
      <c r="P14" s="343">
        <v>6542.33</v>
      </c>
      <c r="Q14" s="343">
        <v>555.01</v>
      </c>
      <c r="R14" s="342">
        <v>89346</v>
      </c>
      <c r="S14" s="342">
        <v>2000</v>
      </c>
      <c r="T14" s="344" t="s">
        <v>566</v>
      </c>
      <c r="U14" s="343">
        <v>1172.58</v>
      </c>
      <c r="V14" s="343">
        <v>456.64</v>
      </c>
      <c r="W14" s="343">
        <v>715.95</v>
      </c>
      <c r="X14" s="342">
        <v>5926</v>
      </c>
      <c r="Y14" s="343">
        <v>820.34</v>
      </c>
      <c r="Z14" s="343">
        <v>736.36</v>
      </c>
      <c r="AA14" s="343">
        <v>79.81</v>
      </c>
      <c r="AB14" s="342">
        <v>16164</v>
      </c>
    </row>
    <row r="15" spans="1:28" s="58" customFormat="1" ht="13.5" customHeight="1">
      <c r="A15" s="142">
        <v>2001</v>
      </c>
      <c r="B15" s="144">
        <v>3878.16</v>
      </c>
      <c r="C15" s="144">
        <v>3735.96</v>
      </c>
      <c r="D15" s="144">
        <v>38.24</v>
      </c>
      <c r="E15" s="142">
        <v>61325</v>
      </c>
      <c r="F15" s="144">
        <v>1068.9100000000001</v>
      </c>
      <c r="G15" s="144">
        <v>588.16999999999996</v>
      </c>
      <c r="H15" s="142">
        <v>2001</v>
      </c>
      <c r="I15" s="144">
        <v>259.81</v>
      </c>
      <c r="J15" s="142">
        <v>1588</v>
      </c>
      <c r="K15" s="144">
        <v>4321</v>
      </c>
      <c r="L15" s="144">
        <v>3126</v>
      </c>
      <c r="M15" s="144">
        <v>514.48</v>
      </c>
      <c r="N15" s="142">
        <v>28068</v>
      </c>
      <c r="O15" s="144">
        <v>9268.07</v>
      </c>
      <c r="P15" s="144">
        <v>7450.13</v>
      </c>
      <c r="Q15" s="144">
        <v>812.53</v>
      </c>
      <c r="R15" s="142">
        <v>90981</v>
      </c>
      <c r="S15" s="142">
        <v>2001</v>
      </c>
      <c r="T15" s="83" t="s">
        <v>567</v>
      </c>
      <c r="U15" s="144">
        <v>1133.1500000000001</v>
      </c>
      <c r="V15" s="144">
        <v>183.34</v>
      </c>
      <c r="W15" s="144">
        <v>949.41</v>
      </c>
      <c r="X15" s="142">
        <v>5769</v>
      </c>
      <c r="Y15" s="144">
        <v>636.39</v>
      </c>
      <c r="Z15" s="144">
        <v>748.34</v>
      </c>
      <c r="AA15" s="144">
        <v>-114.64</v>
      </c>
      <c r="AB15" s="142">
        <v>16475</v>
      </c>
    </row>
    <row r="16" spans="1:28" s="58" customFormat="1" ht="13.5" customHeight="1">
      <c r="A16" s="342">
        <v>2002</v>
      </c>
      <c r="B16" s="343">
        <v>3665.52</v>
      </c>
      <c r="C16" s="343">
        <v>3420.35</v>
      </c>
      <c r="D16" s="343">
        <v>19.88</v>
      </c>
      <c r="E16" s="342">
        <v>60169</v>
      </c>
      <c r="F16" s="343">
        <v>1061.9000000000001</v>
      </c>
      <c r="G16" s="343">
        <v>570.79</v>
      </c>
      <c r="H16" s="342">
        <v>2002</v>
      </c>
      <c r="I16" s="343">
        <v>224.08</v>
      </c>
      <c r="J16" s="342">
        <v>1305</v>
      </c>
      <c r="K16" s="343">
        <v>5021.55</v>
      </c>
      <c r="L16" s="343">
        <v>3930.87</v>
      </c>
      <c r="M16" s="343">
        <v>458.79</v>
      </c>
      <c r="N16" s="342">
        <v>28336</v>
      </c>
      <c r="O16" s="343">
        <v>9748.9699999999993</v>
      </c>
      <c r="P16" s="343">
        <v>7922.01</v>
      </c>
      <c r="Q16" s="343">
        <v>702.75</v>
      </c>
      <c r="R16" s="342">
        <v>89810</v>
      </c>
      <c r="S16" s="342">
        <v>2002</v>
      </c>
      <c r="T16" s="344" t="s">
        <v>568</v>
      </c>
      <c r="U16" s="343">
        <v>1725.62</v>
      </c>
      <c r="V16" s="343">
        <v>365.57</v>
      </c>
      <c r="W16" s="343">
        <v>760.05</v>
      </c>
      <c r="X16" s="342">
        <v>5576</v>
      </c>
      <c r="Y16" s="343">
        <v>738.53</v>
      </c>
      <c r="Z16" s="343">
        <v>768.85</v>
      </c>
      <c r="AA16" s="343">
        <v>-24.32</v>
      </c>
      <c r="AB16" s="342">
        <v>15837</v>
      </c>
    </row>
    <row r="17" spans="1:28" s="58" customFormat="1" ht="13.5" customHeight="1">
      <c r="A17" s="142">
        <v>2003</v>
      </c>
      <c r="B17" s="144">
        <v>4165.22</v>
      </c>
      <c r="C17" s="144">
        <v>3860.79</v>
      </c>
      <c r="D17" s="144">
        <v>68.209999999999994</v>
      </c>
      <c r="E17" s="142">
        <v>58629</v>
      </c>
      <c r="F17" s="144">
        <v>772.93</v>
      </c>
      <c r="G17" s="144">
        <v>252.27</v>
      </c>
      <c r="H17" s="142">
        <v>2003</v>
      </c>
      <c r="I17" s="144">
        <v>276.44</v>
      </c>
      <c r="J17" s="142">
        <v>1409</v>
      </c>
      <c r="K17" s="144">
        <v>5921.25</v>
      </c>
      <c r="L17" s="144">
        <v>4543.82</v>
      </c>
      <c r="M17" s="144">
        <v>475.59</v>
      </c>
      <c r="N17" s="142">
        <v>32576</v>
      </c>
      <c r="O17" s="144">
        <v>10859.4</v>
      </c>
      <c r="P17" s="144">
        <v>8656.8799999999992</v>
      </c>
      <c r="Q17" s="144">
        <v>820.24</v>
      </c>
      <c r="R17" s="142">
        <v>92614</v>
      </c>
      <c r="S17" s="142">
        <v>2003</v>
      </c>
      <c r="T17" s="83" t="s">
        <v>569</v>
      </c>
      <c r="U17" s="144">
        <v>2100.69</v>
      </c>
      <c r="V17" s="144">
        <v>1161.21</v>
      </c>
      <c r="W17" s="144">
        <v>939.48</v>
      </c>
      <c r="X17" s="142">
        <v>5461</v>
      </c>
      <c r="Y17" s="144">
        <v>693.26</v>
      </c>
      <c r="Z17" s="144">
        <v>773.15</v>
      </c>
      <c r="AA17" s="144">
        <v>-87.89</v>
      </c>
      <c r="AB17" s="142">
        <v>15300</v>
      </c>
    </row>
    <row r="18" spans="1:28" s="58" customFormat="1" ht="13.5" customHeight="1">
      <c r="A18" s="342">
        <v>2004</v>
      </c>
      <c r="B18" s="343">
        <v>4008.46</v>
      </c>
      <c r="C18" s="343">
        <v>3693.77</v>
      </c>
      <c r="D18" s="343">
        <v>-1904.72</v>
      </c>
      <c r="E18" s="342">
        <v>57588</v>
      </c>
      <c r="F18" s="343">
        <v>1294.25</v>
      </c>
      <c r="G18" s="343">
        <v>640.37</v>
      </c>
      <c r="H18" s="342">
        <v>2004</v>
      </c>
      <c r="I18" s="343">
        <v>392.01</v>
      </c>
      <c r="J18" s="342">
        <v>1394</v>
      </c>
      <c r="K18" s="343">
        <v>7305.97</v>
      </c>
      <c r="L18" s="343">
        <v>5293.89</v>
      </c>
      <c r="M18" s="343">
        <v>736.49</v>
      </c>
      <c r="N18" s="342">
        <v>34786</v>
      </c>
      <c r="O18" s="343">
        <v>12608.68</v>
      </c>
      <c r="P18" s="343">
        <v>9628.0300000000007</v>
      </c>
      <c r="Q18" s="343">
        <v>-776.22</v>
      </c>
      <c r="R18" s="342">
        <v>93768</v>
      </c>
      <c r="S18" s="342">
        <v>2004</v>
      </c>
      <c r="T18" s="344" t="s">
        <v>570</v>
      </c>
      <c r="U18" s="343">
        <v>2415.7800000000002</v>
      </c>
      <c r="V18" s="343">
        <v>523.91</v>
      </c>
      <c r="W18" s="343">
        <v>1891.87</v>
      </c>
      <c r="X18" s="342">
        <v>5596</v>
      </c>
      <c r="Y18" s="343">
        <v>646.38</v>
      </c>
      <c r="Z18" s="343">
        <v>854.92</v>
      </c>
      <c r="AA18" s="343">
        <v>-240.68</v>
      </c>
      <c r="AB18" s="342">
        <v>14350</v>
      </c>
    </row>
    <row r="19" spans="1:28" s="58" customFormat="1" ht="13.5" customHeight="1">
      <c r="A19" s="142">
        <v>2005</v>
      </c>
      <c r="B19" s="144">
        <v>4836.34</v>
      </c>
      <c r="C19" s="144">
        <v>3814.7</v>
      </c>
      <c r="D19" s="144">
        <v>-1209.4100000000001</v>
      </c>
      <c r="E19" s="142">
        <v>56417</v>
      </c>
      <c r="F19" s="144">
        <v>1367.59</v>
      </c>
      <c r="G19" s="144">
        <v>529.5</v>
      </c>
      <c r="H19" s="142">
        <v>2005</v>
      </c>
      <c r="I19" s="144">
        <v>470.18</v>
      </c>
      <c r="J19" s="142">
        <v>1713</v>
      </c>
      <c r="K19" s="144">
        <v>9140.17</v>
      </c>
      <c r="L19" s="144">
        <v>6599.97</v>
      </c>
      <c r="M19" s="144">
        <v>954.71</v>
      </c>
      <c r="N19" s="142">
        <v>36715</v>
      </c>
      <c r="O19" s="144">
        <v>15344.1</v>
      </c>
      <c r="P19" s="144">
        <v>10944.17</v>
      </c>
      <c r="Q19" s="144">
        <v>215.48</v>
      </c>
      <c r="R19" s="142">
        <v>94845</v>
      </c>
      <c r="S19" s="142">
        <v>2005</v>
      </c>
      <c r="T19" s="83" t="s">
        <v>575</v>
      </c>
      <c r="U19" s="144">
        <v>3621.5</v>
      </c>
      <c r="V19" s="144">
        <v>1217.48</v>
      </c>
      <c r="W19" s="144">
        <f>U19-V19</f>
        <v>2404.02</v>
      </c>
      <c r="X19" s="142">
        <v>5481</v>
      </c>
      <c r="Y19" s="144">
        <v>1026.0899999999999</v>
      </c>
      <c r="Z19" s="144">
        <v>1088.9000000000001</v>
      </c>
      <c r="AA19" s="144">
        <v>-123</v>
      </c>
      <c r="AB19" s="142">
        <v>15406</v>
      </c>
    </row>
    <row r="20" spans="1:28" s="58" customFormat="1" ht="13.5" customHeight="1">
      <c r="A20" s="342">
        <v>2006</v>
      </c>
      <c r="B20" s="342">
        <v>5657.36</v>
      </c>
      <c r="C20" s="342">
        <v>4551.7700000000004</v>
      </c>
      <c r="D20" s="342">
        <v>-4415.92</v>
      </c>
      <c r="E20" s="342">
        <v>54591</v>
      </c>
      <c r="F20" s="343">
        <v>2372</v>
      </c>
      <c r="G20" s="342">
        <v>988.01</v>
      </c>
      <c r="H20" s="342">
        <v>2006</v>
      </c>
      <c r="I20" s="342">
        <v>624.12</v>
      </c>
      <c r="J20" s="342">
        <v>2384</v>
      </c>
      <c r="K20" s="342">
        <v>12757.48</v>
      </c>
      <c r="L20" s="342">
        <v>9400.6200000000008</v>
      </c>
      <c r="M20" s="342">
        <v>931.54</v>
      </c>
      <c r="N20" s="342">
        <v>42512</v>
      </c>
      <c r="O20" s="342">
        <v>20786.84</v>
      </c>
      <c r="P20" s="343">
        <v>14940.4</v>
      </c>
      <c r="Q20" s="342">
        <v>-2860.26</v>
      </c>
      <c r="R20" s="342">
        <v>99487</v>
      </c>
      <c r="S20" s="342">
        <v>2006</v>
      </c>
      <c r="T20" s="345" t="s">
        <v>584</v>
      </c>
      <c r="U20" s="346">
        <v>4279.41</v>
      </c>
      <c r="V20" s="346">
        <v>818.83</v>
      </c>
      <c r="W20" s="346">
        <v>3460.58</v>
      </c>
      <c r="X20" s="346">
        <v>5402</v>
      </c>
      <c r="Y20" s="347">
        <v>1234.32</v>
      </c>
      <c r="Z20" s="346">
        <v>1251.53</v>
      </c>
      <c r="AA20" s="347">
        <v>-143.62</v>
      </c>
      <c r="AB20" s="346">
        <v>15515</v>
      </c>
    </row>
    <row r="21" spans="1:28" s="58" customFormat="1" ht="13.5" customHeight="1">
      <c r="A21" s="142">
        <v>2007</v>
      </c>
      <c r="B21" s="142">
        <v>4713.37</v>
      </c>
      <c r="C21" s="142">
        <v>3243.54</v>
      </c>
      <c r="D21" s="144">
        <v>-809.1</v>
      </c>
      <c r="E21" s="142">
        <v>52177</v>
      </c>
      <c r="F21" s="144">
        <v>2656.66</v>
      </c>
      <c r="G21" s="142">
        <v>1266.5899999999999</v>
      </c>
      <c r="H21" s="142">
        <v>2007</v>
      </c>
      <c r="I21" s="142">
        <v>723.33</v>
      </c>
      <c r="J21" s="142">
        <v>2388</v>
      </c>
      <c r="K21" s="142">
        <v>16256.55</v>
      </c>
      <c r="L21" s="142">
        <v>11380.48</v>
      </c>
      <c r="M21" s="142">
        <v>1995.75</v>
      </c>
      <c r="N21" s="142">
        <v>45074</v>
      </c>
      <c r="O21" s="144">
        <v>23392.9</v>
      </c>
      <c r="P21" s="144">
        <v>15872.78</v>
      </c>
      <c r="Q21" s="142">
        <v>1909.98</v>
      </c>
      <c r="R21" s="142">
        <v>99639</v>
      </c>
      <c r="S21" s="142">
        <v>2007</v>
      </c>
      <c r="T21" s="58" t="s">
        <v>336</v>
      </c>
      <c r="U21" s="146">
        <v>4062.03</v>
      </c>
      <c r="V21" s="145">
        <v>909.2</v>
      </c>
      <c r="W21" s="146">
        <v>3152.83</v>
      </c>
      <c r="X21" s="146">
        <f>4031+1273</f>
        <v>5304</v>
      </c>
      <c r="Y21" s="146">
        <v>1472.26</v>
      </c>
      <c r="Z21" s="146">
        <v>1497.07</v>
      </c>
      <c r="AA21" s="146">
        <v>-167.17</v>
      </c>
      <c r="AB21" s="146">
        <v>15400</v>
      </c>
    </row>
    <row r="22" spans="1:28" s="146" customFormat="1" ht="13.5" customHeight="1">
      <c r="A22" s="342">
        <v>2008</v>
      </c>
      <c r="B22" s="342">
        <v>6750.95</v>
      </c>
      <c r="C22" s="342">
        <v>5227.88</v>
      </c>
      <c r="D22" s="342">
        <v>897.68</v>
      </c>
      <c r="E22" s="342">
        <v>53786</v>
      </c>
      <c r="F22" s="343">
        <v>3235.57</v>
      </c>
      <c r="G22" s="343">
        <v>1620.56</v>
      </c>
      <c r="H22" s="342">
        <v>2008</v>
      </c>
      <c r="I22" s="348">
        <v>1138.42</v>
      </c>
      <c r="J22" s="349">
        <v>2384</v>
      </c>
      <c r="K22" s="343">
        <v>21172.7</v>
      </c>
      <c r="L22" s="343">
        <v>14757.53</v>
      </c>
      <c r="M22" s="348">
        <v>2818.66</v>
      </c>
      <c r="N22" s="349">
        <v>46308</v>
      </c>
      <c r="O22" s="343">
        <v>31159.22</v>
      </c>
      <c r="P22" s="343">
        <v>21605.97</v>
      </c>
      <c r="Q22" s="343">
        <v>4854.76</v>
      </c>
      <c r="R22" s="349">
        <v>102478</v>
      </c>
      <c r="S22" s="342">
        <v>2008</v>
      </c>
      <c r="T22" s="345" t="s">
        <v>85</v>
      </c>
      <c r="U22" s="346">
        <v>3088.43</v>
      </c>
      <c r="V22" s="346">
        <v>582.63</v>
      </c>
      <c r="W22" s="347">
        <v>2505.8000000000002</v>
      </c>
      <c r="X22" s="346">
        <v>5259</v>
      </c>
      <c r="Y22" s="347">
        <v>1944.9</v>
      </c>
      <c r="Z22" s="346">
        <v>1685.01</v>
      </c>
      <c r="AA22" s="346">
        <v>40.159999999999997</v>
      </c>
      <c r="AB22" s="346">
        <v>15388</v>
      </c>
    </row>
    <row r="23" spans="1:28" s="146" customFormat="1" ht="13.5" customHeight="1">
      <c r="A23" s="142">
        <v>2009</v>
      </c>
      <c r="B23" s="142">
        <v>8026.68</v>
      </c>
      <c r="C23" s="142">
        <v>6083.51</v>
      </c>
      <c r="D23" s="142">
        <v>931.35</v>
      </c>
      <c r="E23" s="142">
        <v>50600</v>
      </c>
      <c r="F23" s="144">
        <v>2610.9499999999998</v>
      </c>
      <c r="G23" s="144">
        <v>1401.57</v>
      </c>
      <c r="H23" s="142">
        <v>2009</v>
      </c>
      <c r="I23" s="144">
        <v>708.78</v>
      </c>
      <c r="J23" s="151">
        <v>2760</v>
      </c>
      <c r="K23" s="144">
        <v>26262.19</v>
      </c>
      <c r="L23" s="144">
        <v>17911.02</v>
      </c>
      <c r="M23" s="144">
        <v>3947.72</v>
      </c>
      <c r="N23" s="151">
        <v>59874</v>
      </c>
      <c r="O23" s="144">
        <f t="shared" ref="O23:P32" si="0">B23+F23+K23</f>
        <v>36899.82</v>
      </c>
      <c r="P23" s="144">
        <f t="shared" si="0"/>
        <v>25396.1</v>
      </c>
      <c r="Q23" s="144">
        <f t="shared" ref="Q23:R32" si="1">D23+I23+M23</f>
        <v>5587.85</v>
      </c>
      <c r="R23" s="151">
        <f t="shared" si="1"/>
        <v>113234</v>
      </c>
      <c r="S23" s="142">
        <v>2009</v>
      </c>
      <c r="T23" s="58" t="s">
        <v>81</v>
      </c>
      <c r="U23" s="146">
        <v>1926.92</v>
      </c>
      <c r="V23" s="145">
        <v>639.1</v>
      </c>
      <c r="W23" s="145">
        <v>1287.82</v>
      </c>
      <c r="X23" s="146">
        <f>3914+1157</f>
        <v>5071</v>
      </c>
      <c r="Y23" s="146">
        <v>2327.42</v>
      </c>
      <c r="Z23" s="146">
        <v>2053.65</v>
      </c>
      <c r="AA23" s="146">
        <v>105.76</v>
      </c>
      <c r="AB23" s="146">
        <v>15293</v>
      </c>
    </row>
    <row r="24" spans="1:28" s="146" customFormat="1" ht="13.5" customHeight="1">
      <c r="A24" s="342">
        <v>2010</v>
      </c>
      <c r="B24" s="342">
        <v>10260.459999999999</v>
      </c>
      <c r="C24" s="342">
        <v>7163.33</v>
      </c>
      <c r="D24" s="342">
        <v>1176.26</v>
      </c>
      <c r="E24" s="342">
        <v>50069</v>
      </c>
      <c r="F24" s="343">
        <v>2632.77</v>
      </c>
      <c r="G24" s="343">
        <v>1338.96</v>
      </c>
      <c r="H24" s="342">
        <v>2010</v>
      </c>
      <c r="I24" s="343">
        <v>645.62</v>
      </c>
      <c r="J24" s="349">
        <v>3143</v>
      </c>
      <c r="K24" s="343">
        <v>32873.14</v>
      </c>
      <c r="L24" s="343">
        <v>20435.560000000001</v>
      </c>
      <c r="M24" s="343">
        <v>6032.03</v>
      </c>
      <c r="N24" s="349">
        <v>68720</v>
      </c>
      <c r="O24" s="343">
        <f t="shared" si="0"/>
        <v>45766.369999999995</v>
      </c>
      <c r="P24" s="343">
        <f t="shared" si="0"/>
        <v>28937.850000000002</v>
      </c>
      <c r="Q24" s="343">
        <f t="shared" si="1"/>
        <v>7853.91</v>
      </c>
      <c r="R24" s="349">
        <f t="shared" si="1"/>
        <v>121932</v>
      </c>
      <c r="S24" s="342">
        <v>2010</v>
      </c>
      <c r="T24" s="345" t="s">
        <v>192</v>
      </c>
      <c r="U24" s="346">
        <v>9862.5400000000009</v>
      </c>
      <c r="V24" s="347">
        <v>1019.94</v>
      </c>
      <c r="W24" s="346">
        <v>8842.59</v>
      </c>
      <c r="X24" s="346">
        <f>3848+1030</f>
        <v>4878</v>
      </c>
      <c r="Y24" s="347">
        <v>2610.5</v>
      </c>
      <c r="Z24" s="347">
        <v>2494.17</v>
      </c>
      <c r="AA24" s="346">
        <v>-58.41</v>
      </c>
      <c r="AB24" s="346">
        <v>14367</v>
      </c>
    </row>
    <row r="25" spans="1:28" s="379" customFormat="1" ht="13.5" customHeight="1">
      <c r="A25" s="517">
        <v>2011</v>
      </c>
      <c r="B25" s="518">
        <v>13224.12</v>
      </c>
      <c r="C25" s="518">
        <v>8569.5</v>
      </c>
      <c r="D25" s="517">
        <v>1799.33</v>
      </c>
      <c r="E25" s="517">
        <v>54025</v>
      </c>
      <c r="F25" s="518">
        <v>4378.41</v>
      </c>
      <c r="G25" s="518">
        <v>1925.6</v>
      </c>
      <c r="H25" s="517">
        <v>2011</v>
      </c>
      <c r="I25" s="518">
        <v>781.04</v>
      </c>
      <c r="J25" s="519">
        <v>3137</v>
      </c>
      <c r="K25" s="518">
        <v>41050.18</v>
      </c>
      <c r="L25" s="518">
        <v>29079.7</v>
      </c>
      <c r="M25" s="518">
        <v>6999.28</v>
      </c>
      <c r="N25" s="519">
        <v>75649</v>
      </c>
      <c r="O25" s="518">
        <f t="shared" si="0"/>
        <v>58652.71</v>
      </c>
      <c r="P25" s="518">
        <f t="shared" si="0"/>
        <v>39574.800000000003</v>
      </c>
      <c r="Q25" s="144">
        <f t="shared" si="1"/>
        <v>9579.65</v>
      </c>
      <c r="R25" s="151">
        <f t="shared" si="1"/>
        <v>132811</v>
      </c>
      <c r="S25" s="517">
        <v>2011</v>
      </c>
      <c r="T25" s="176" t="s">
        <v>1093</v>
      </c>
      <c r="U25" s="379">
        <v>8522.74</v>
      </c>
      <c r="V25" s="398">
        <v>1490.9978000000001</v>
      </c>
      <c r="W25" s="379">
        <v>7031.75</v>
      </c>
      <c r="X25" s="379">
        <v>4958</v>
      </c>
      <c r="Y25" s="398">
        <v>1818.91</v>
      </c>
      <c r="Z25" s="398">
        <v>1996.95</v>
      </c>
      <c r="AA25" s="398">
        <v>-208.04</v>
      </c>
      <c r="AB25" s="379">
        <v>13879</v>
      </c>
    </row>
    <row r="26" spans="1:28" s="379" customFormat="1" ht="13.5" customHeight="1">
      <c r="A26" s="342">
        <v>2012</v>
      </c>
      <c r="B26" s="343">
        <v>15725.253306500001</v>
      </c>
      <c r="C26" s="343">
        <v>11794.0446276</v>
      </c>
      <c r="D26" s="343">
        <v>-6522.876828200001</v>
      </c>
      <c r="E26" s="342">
        <v>57989</v>
      </c>
      <c r="F26" s="343">
        <v>5603.3493125000005</v>
      </c>
      <c r="G26" s="343">
        <v>2796.43</v>
      </c>
      <c r="H26" s="342">
        <v>2012</v>
      </c>
      <c r="I26" s="343">
        <v>1465.1193717000001</v>
      </c>
      <c r="J26" s="349">
        <v>3140</v>
      </c>
      <c r="K26" s="343">
        <v>52221.363523699983</v>
      </c>
      <c r="L26" s="343">
        <v>38973.794740899997</v>
      </c>
      <c r="M26" s="343">
        <v>3962.6805902000001</v>
      </c>
      <c r="N26" s="349">
        <v>81944</v>
      </c>
      <c r="O26" s="343">
        <f t="shared" si="0"/>
        <v>73549.966142699981</v>
      </c>
      <c r="P26" s="343">
        <f t="shared" si="0"/>
        <v>53564.269368499998</v>
      </c>
      <c r="Q26" s="343">
        <f t="shared" si="1"/>
        <v>-1095.0768663000013</v>
      </c>
      <c r="R26" s="349">
        <f t="shared" si="1"/>
        <v>143073</v>
      </c>
      <c r="S26" s="342">
        <v>2012</v>
      </c>
      <c r="T26" s="585" t="s">
        <v>1121</v>
      </c>
      <c r="U26" s="346" t="s">
        <v>298</v>
      </c>
      <c r="V26" s="347" t="s">
        <v>298</v>
      </c>
      <c r="W26" s="346" t="s">
        <v>298</v>
      </c>
      <c r="X26" s="346" t="s">
        <v>298</v>
      </c>
      <c r="Y26" s="346">
        <f>252.03+1340.23</f>
        <v>1592.26</v>
      </c>
      <c r="Z26" s="346">
        <f>149.23+1079.22</f>
        <v>1228.45</v>
      </c>
      <c r="AA26" s="346">
        <f>83.7+2.79</f>
        <v>86.490000000000009</v>
      </c>
      <c r="AB26" s="346">
        <f>857+1657</f>
        <v>2514</v>
      </c>
    </row>
    <row r="27" spans="1:28" s="379" customFormat="1" ht="13.5" customHeight="1">
      <c r="A27" s="517">
        <v>2013</v>
      </c>
      <c r="B27" s="518">
        <v>16728.024012099999</v>
      </c>
      <c r="C27" s="518">
        <v>13949.002911900001</v>
      </c>
      <c r="D27" s="518">
        <v>2258.4407385999998</v>
      </c>
      <c r="E27" s="517">
        <v>58049</v>
      </c>
      <c r="F27" s="518">
        <v>5985.9425159000011</v>
      </c>
      <c r="G27" s="518">
        <v>3007.3867308999997</v>
      </c>
      <c r="H27" s="517">
        <v>2013</v>
      </c>
      <c r="I27" s="518">
        <v>1464.6336643</v>
      </c>
      <c r="J27" s="519">
        <v>3330</v>
      </c>
      <c r="K27" s="518">
        <v>57658.748551799996</v>
      </c>
      <c r="L27" s="518">
        <v>44904.274183500005</v>
      </c>
      <c r="M27" s="518">
        <v>4644.2722049999993</v>
      </c>
      <c r="N27" s="519">
        <v>85888</v>
      </c>
      <c r="O27" s="518">
        <f t="shared" si="0"/>
        <v>80372.715079799993</v>
      </c>
      <c r="P27" s="518">
        <f t="shared" si="0"/>
        <v>61860.663826300006</v>
      </c>
      <c r="Q27" s="518">
        <f t="shared" si="1"/>
        <v>8367.3466078999991</v>
      </c>
      <c r="R27" s="519">
        <f t="shared" si="1"/>
        <v>147267</v>
      </c>
      <c r="S27" s="517">
        <v>2013</v>
      </c>
      <c r="T27" s="584" t="s">
        <v>866</v>
      </c>
      <c r="U27" s="379">
        <v>1685.34</v>
      </c>
      <c r="V27" s="398">
        <v>1380.9365</v>
      </c>
      <c r="W27" s="379">
        <v>304.41000000000003</v>
      </c>
      <c r="X27" s="379">
        <v>5239</v>
      </c>
      <c r="Y27" s="398">
        <v>1794.8927682999999</v>
      </c>
      <c r="Z27" s="398">
        <v>2210.8702908</v>
      </c>
      <c r="AA27" s="398">
        <v>-448.5010825</v>
      </c>
      <c r="AB27" s="379">
        <v>15034</v>
      </c>
    </row>
    <row r="28" spans="1:28" s="379" customFormat="1" ht="13.5" customHeight="1">
      <c r="A28" s="342">
        <v>2014</v>
      </c>
      <c r="B28" s="343">
        <v>18486.490000000002</v>
      </c>
      <c r="C28" s="343">
        <v>15256.82</v>
      </c>
      <c r="D28" s="343">
        <v>1227.44</v>
      </c>
      <c r="E28" s="342">
        <v>56187</v>
      </c>
      <c r="F28" s="343">
        <v>5906.7</v>
      </c>
      <c r="G28" s="343">
        <v>2721.73</v>
      </c>
      <c r="H28" s="342">
        <v>2014</v>
      </c>
      <c r="I28" s="343">
        <v>1706.03</v>
      </c>
      <c r="J28" s="349">
        <v>3880</v>
      </c>
      <c r="K28" s="343">
        <v>61356.65</v>
      </c>
      <c r="L28" s="343">
        <v>46637.05</v>
      </c>
      <c r="M28" s="343">
        <v>5511.02</v>
      </c>
      <c r="N28" s="349">
        <v>93624</v>
      </c>
      <c r="O28" s="343">
        <f t="shared" si="0"/>
        <v>85749.84</v>
      </c>
      <c r="P28" s="343">
        <f t="shared" si="0"/>
        <v>64615.600000000006</v>
      </c>
      <c r="Q28" s="343">
        <f t="shared" si="1"/>
        <v>8444.4900000000016</v>
      </c>
      <c r="R28" s="349">
        <f t="shared" si="1"/>
        <v>153691</v>
      </c>
      <c r="S28" s="342">
        <v>2014</v>
      </c>
      <c r="T28" s="585">
        <v>2013</v>
      </c>
      <c r="U28" s="346" t="s">
        <v>298</v>
      </c>
      <c r="V28" s="347" t="s">
        <v>298</v>
      </c>
      <c r="W28" s="346" t="s">
        <v>298</v>
      </c>
      <c r="X28" s="346" t="s">
        <v>298</v>
      </c>
      <c r="Y28" s="347">
        <v>2163.7902678</v>
      </c>
      <c r="Z28" s="347">
        <v>1791.2615637000001</v>
      </c>
      <c r="AA28" s="347">
        <v>48.857708699999996</v>
      </c>
      <c r="AB28" s="346">
        <v>2971</v>
      </c>
    </row>
    <row r="29" spans="1:28" s="379" customFormat="1" ht="13.5" customHeight="1">
      <c r="A29" s="146">
        <v>2015</v>
      </c>
      <c r="B29" s="92">
        <v>20782.27</v>
      </c>
      <c r="C29" s="92">
        <v>17852.88</v>
      </c>
      <c r="D29" s="683">
        <v>365.93</v>
      </c>
      <c r="E29" s="684">
        <v>58286</v>
      </c>
      <c r="F29" s="402">
        <v>5407.47</v>
      </c>
      <c r="G29" s="402">
        <v>2514.02</v>
      </c>
      <c r="H29" s="146">
        <v>2015</v>
      </c>
      <c r="I29" s="402">
        <v>1695.81</v>
      </c>
      <c r="J29" s="685">
        <v>3876</v>
      </c>
      <c r="K29" s="402">
        <v>64033.43</v>
      </c>
      <c r="L29" s="402">
        <v>48463.98</v>
      </c>
      <c r="M29" s="402">
        <v>6145.79</v>
      </c>
      <c r="N29" s="685">
        <v>92742</v>
      </c>
      <c r="O29" s="518">
        <f t="shared" si="0"/>
        <v>90223.17</v>
      </c>
      <c r="P29" s="518">
        <f t="shared" si="0"/>
        <v>68830.880000000005</v>
      </c>
      <c r="Q29" s="518">
        <f t="shared" si="1"/>
        <v>8207.5299999999988</v>
      </c>
      <c r="R29" s="519">
        <f t="shared" si="1"/>
        <v>154904</v>
      </c>
      <c r="S29" s="146">
        <v>2015</v>
      </c>
      <c r="T29" s="176" t="s">
        <v>1051</v>
      </c>
      <c r="U29" s="379">
        <v>5040.63</v>
      </c>
      <c r="V29" s="398">
        <v>1688.81</v>
      </c>
      <c r="W29" s="379">
        <v>3351.83</v>
      </c>
      <c r="X29" s="379">
        <v>5470</v>
      </c>
      <c r="Y29" s="398">
        <v>2035.3</v>
      </c>
      <c r="Z29" s="379">
        <v>2539.12</v>
      </c>
      <c r="AA29" s="379">
        <v>-3504.21</v>
      </c>
      <c r="AB29" s="379">
        <v>14237</v>
      </c>
    </row>
    <row r="30" spans="1:28" s="379" customFormat="1" ht="13.5" customHeight="1">
      <c r="A30" s="346">
        <v>2016</v>
      </c>
      <c r="B30" s="755">
        <v>20405.580000000002</v>
      </c>
      <c r="C30" s="755">
        <v>18437.03</v>
      </c>
      <c r="D30" s="756">
        <v>-363.99</v>
      </c>
      <c r="E30" s="757">
        <v>54405</v>
      </c>
      <c r="F30" s="407">
        <v>4405.96</v>
      </c>
      <c r="G30" s="407">
        <v>2009.23</v>
      </c>
      <c r="H30" s="346">
        <v>2016</v>
      </c>
      <c r="I30" s="407">
        <v>1385.13</v>
      </c>
      <c r="J30" s="758">
        <v>3997</v>
      </c>
      <c r="K30" s="407">
        <v>66053.23</v>
      </c>
      <c r="L30" s="407">
        <v>48304.639999999999</v>
      </c>
      <c r="M30" s="407">
        <v>7075.22</v>
      </c>
      <c r="N30" s="758">
        <v>101622</v>
      </c>
      <c r="O30" s="343">
        <f t="shared" si="0"/>
        <v>90864.76999999999</v>
      </c>
      <c r="P30" s="343">
        <f t="shared" si="0"/>
        <v>68750.899999999994</v>
      </c>
      <c r="Q30" s="343">
        <f t="shared" si="1"/>
        <v>8096.3600000000006</v>
      </c>
      <c r="R30" s="349">
        <f t="shared" si="1"/>
        <v>160024</v>
      </c>
      <c r="S30" s="346">
        <v>2016</v>
      </c>
      <c r="T30" s="585">
        <v>2014</v>
      </c>
      <c r="U30" s="346" t="s">
        <v>298</v>
      </c>
      <c r="V30" s="347" t="s">
        <v>298</v>
      </c>
      <c r="W30" s="346" t="s">
        <v>298</v>
      </c>
      <c r="X30" s="346" t="s">
        <v>298</v>
      </c>
      <c r="Y30" s="346">
        <v>1988.85</v>
      </c>
      <c r="Z30" s="346">
        <v>1951.38</v>
      </c>
      <c r="AA30" s="346">
        <v>2.91</v>
      </c>
      <c r="AB30" s="346">
        <v>3115</v>
      </c>
    </row>
    <row r="31" spans="1:28" ht="13.5" customHeight="1">
      <c r="A31" s="146">
        <v>2017</v>
      </c>
      <c r="B31" s="146">
        <v>20829.87</v>
      </c>
      <c r="C31" s="146">
        <v>17032.490000000002</v>
      </c>
      <c r="D31" s="146">
        <v>1091.04</v>
      </c>
      <c r="E31" s="146">
        <v>51483</v>
      </c>
      <c r="F31" s="146">
        <v>4369.22</v>
      </c>
      <c r="G31" s="146">
        <v>2027.35</v>
      </c>
      <c r="H31" s="146">
        <v>2017</v>
      </c>
      <c r="I31" s="146">
        <v>1324.35</v>
      </c>
      <c r="J31" s="146">
        <v>4003</v>
      </c>
      <c r="K31" s="518">
        <v>71888.84</v>
      </c>
      <c r="L31" s="518">
        <v>53138.79</v>
      </c>
      <c r="M31" s="518">
        <v>6877.83</v>
      </c>
      <c r="N31" s="519">
        <v>107255</v>
      </c>
      <c r="O31" s="518">
        <f t="shared" si="0"/>
        <v>97087.93</v>
      </c>
      <c r="P31" s="518">
        <f t="shared" si="0"/>
        <v>72198.63</v>
      </c>
      <c r="Q31" s="518">
        <f t="shared" si="1"/>
        <v>9293.2199999999993</v>
      </c>
      <c r="R31" s="519">
        <f t="shared" si="1"/>
        <v>162741</v>
      </c>
      <c r="S31" s="517">
        <v>2017</v>
      </c>
      <c r="T31" s="176" t="s">
        <v>1105</v>
      </c>
      <c r="U31" s="379">
        <v>2807.48</v>
      </c>
      <c r="V31" s="398">
        <v>5430.4471999999996</v>
      </c>
      <c r="W31" s="398">
        <v>-2622.97</v>
      </c>
      <c r="X31" s="379">
        <v>6067</v>
      </c>
      <c r="Y31" s="379">
        <v>2105.12</v>
      </c>
      <c r="Z31" s="379">
        <v>2551.56</v>
      </c>
      <c r="AA31" s="398">
        <v>-247.5</v>
      </c>
      <c r="AB31" s="379">
        <v>14094</v>
      </c>
    </row>
    <row r="32" spans="1:28" ht="13.5" customHeight="1">
      <c r="A32" s="346">
        <v>2018</v>
      </c>
      <c r="B32" s="346">
        <v>21746.61</v>
      </c>
      <c r="C32" s="346">
        <v>17483.86</v>
      </c>
      <c r="D32" s="346">
        <v>113.45</v>
      </c>
      <c r="E32" s="346">
        <v>49552</v>
      </c>
      <c r="F32" s="346">
        <v>5123.6499999999996</v>
      </c>
      <c r="G32" s="346">
        <v>2321.98</v>
      </c>
      <c r="H32" s="346">
        <v>2018</v>
      </c>
      <c r="I32" s="346">
        <v>1630.73</v>
      </c>
      <c r="J32" s="346">
        <v>3935</v>
      </c>
      <c r="K32" s="343">
        <v>84994.49</v>
      </c>
      <c r="L32" s="343">
        <v>65262.559999999998</v>
      </c>
      <c r="M32" s="343">
        <v>7866.64</v>
      </c>
      <c r="N32" s="349">
        <v>114080</v>
      </c>
      <c r="O32" s="343">
        <f t="shared" si="0"/>
        <v>111864.75</v>
      </c>
      <c r="P32" s="343">
        <f t="shared" si="0"/>
        <v>85068.4</v>
      </c>
      <c r="Q32" s="343">
        <f t="shared" si="1"/>
        <v>9610.82</v>
      </c>
      <c r="R32" s="349">
        <f t="shared" si="1"/>
        <v>167567</v>
      </c>
      <c r="S32" s="342">
        <v>2018</v>
      </c>
      <c r="T32" s="345" t="s">
        <v>1231</v>
      </c>
      <c r="U32" s="346">
        <v>3502.18</v>
      </c>
      <c r="V32" s="347">
        <v>3349.1619999999998</v>
      </c>
      <c r="W32" s="347">
        <v>153.02000000000001</v>
      </c>
      <c r="X32" s="346">
        <v>5726</v>
      </c>
      <c r="Y32" s="347">
        <v>2060.8000000000002</v>
      </c>
      <c r="Z32" s="347">
        <v>2816.86</v>
      </c>
      <c r="AA32" s="346">
        <v>-674.71</v>
      </c>
      <c r="AB32" s="346">
        <v>13200</v>
      </c>
    </row>
    <row r="33" spans="1:31" ht="13.5" customHeight="1">
      <c r="A33" s="379">
        <v>2019</v>
      </c>
      <c r="B33" s="379">
        <v>22230.95</v>
      </c>
      <c r="C33" s="379">
        <v>18888.73</v>
      </c>
      <c r="D33" s="398">
        <v>155.6</v>
      </c>
      <c r="E33" s="379">
        <v>52002</v>
      </c>
      <c r="F33" s="379">
        <v>7224.31</v>
      </c>
      <c r="G33" s="379">
        <v>3352.81</v>
      </c>
      <c r="H33" s="379">
        <v>2019</v>
      </c>
      <c r="I33" s="379">
        <v>2365.71</v>
      </c>
      <c r="J33" s="379">
        <v>3886</v>
      </c>
      <c r="K33" s="518">
        <v>97952.06</v>
      </c>
      <c r="L33" s="518">
        <v>75408.59</v>
      </c>
      <c r="M33" s="518">
        <v>7018.84</v>
      </c>
      <c r="N33" s="519">
        <v>123186</v>
      </c>
      <c r="O33" s="518">
        <v>127407.31</v>
      </c>
      <c r="P33" s="518">
        <v>97650.13</v>
      </c>
      <c r="Q33" s="518">
        <v>9540.15</v>
      </c>
      <c r="R33" s="519">
        <v>179074</v>
      </c>
      <c r="S33" s="517">
        <v>2019</v>
      </c>
      <c r="T33" s="176" t="s">
        <v>1263</v>
      </c>
      <c r="U33" s="398">
        <v>10866.435799999999</v>
      </c>
      <c r="V33" s="398">
        <v>3379.3724000000002</v>
      </c>
      <c r="W33" s="398">
        <f t="shared" ref="W33:W39" si="2">U33-V33</f>
        <v>7487.0633999999991</v>
      </c>
      <c r="X33" s="379">
        <v>5664</v>
      </c>
      <c r="Y33" s="398">
        <v>2155</v>
      </c>
      <c r="Z33" s="398">
        <v>2921.68</v>
      </c>
      <c r="AA33" s="379">
        <v>-555.75</v>
      </c>
      <c r="AB33" s="379">
        <v>12286</v>
      </c>
      <c r="AD33" s="168"/>
      <c r="AE33" s="168"/>
    </row>
    <row r="34" spans="1:31" ht="13.5" customHeight="1">
      <c r="A34" s="346">
        <v>2020</v>
      </c>
      <c r="B34" s="346">
        <v>24064.51</v>
      </c>
      <c r="C34" s="346">
        <v>20386.939999999999</v>
      </c>
      <c r="D34" s="346">
        <v>49.26</v>
      </c>
      <c r="E34" s="346">
        <v>50543</v>
      </c>
      <c r="F34" s="346">
        <v>6782.25</v>
      </c>
      <c r="G34" s="347">
        <v>2914.5</v>
      </c>
      <c r="H34" s="346">
        <v>2020</v>
      </c>
      <c r="I34" s="347">
        <v>2313.3000000000002</v>
      </c>
      <c r="J34" s="346">
        <v>3870</v>
      </c>
      <c r="K34" s="342">
        <v>94759.71</v>
      </c>
      <c r="L34" s="342">
        <v>75652.05</v>
      </c>
      <c r="M34" s="342">
        <v>8023.22</v>
      </c>
      <c r="N34" s="342">
        <v>127524</v>
      </c>
      <c r="O34" s="342">
        <v>125606.46</v>
      </c>
      <c r="P34" s="342">
        <v>98953.49</v>
      </c>
      <c r="Q34" s="342">
        <v>10385.780000000001</v>
      </c>
      <c r="R34" s="342">
        <v>181937</v>
      </c>
      <c r="S34" s="342">
        <v>2020</v>
      </c>
      <c r="T34" s="345" t="s">
        <v>1392</v>
      </c>
      <c r="U34" s="347">
        <v>14247.9123</v>
      </c>
      <c r="V34" s="347">
        <v>4583.1831000000002</v>
      </c>
      <c r="W34" s="347">
        <f t="shared" si="2"/>
        <v>9664.7291999999998</v>
      </c>
      <c r="X34" s="346">
        <v>5741</v>
      </c>
      <c r="Y34" s="347">
        <v>1952.69</v>
      </c>
      <c r="Z34" s="347">
        <v>2861.6</v>
      </c>
      <c r="AA34" s="346">
        <v>-610.83000000000004</v>
      </c>
      <c r="AB34" s="346">
        <v>12470</v>
      </c>
      <c r="AD34" s="908"/>
      <c r="AE34" s="168"/>
    </row>
    <row r="35" spans="1:31" ht="13.5" customHeight="1">
      <c r="A35" s="379">
        <v>2021</v>
      </c>
      <c r="B35" s="398">
        <v>26872.24418464</v>
      </c>
      <c r="C35" s="398">
        <v>23374.866161400001</v>
      </c>
      <c r="D35" s="398">
        <v>429.252225071</v>
      </c>
      <c r="E35" s="1652">
        <v>50956</v>
      </c>
      <c r="F35" s="398">
        <v>5595.4584286017998</v>
      </c>
      <c r="G35" s="398">
        <v>2450.3390051800002</v>
      </c>
      <c r="H35" s="379">
        <v>2021</v>
      </c>
      <c r="I35" s="398">
        <v>1538.7015144</v>
      </c>
      <c r="J35" s="379">
        <v>3759</v>
      </c>
      <c r="K35" s="518">
        <v>91769.504217783993</v>
      </c>
      <c r="L35" s="518">
        <v>69567.008369129995</v>
      </c>
      <c r="M35" s="518">
        <v>6687.2177825500003</v>
      </c>
      <c r="N35" s="517">
        <v>134446</v>
      </c>
      <c r="O35" s="518">
        <v>124237.20683102599</v>
      </c>
      <c r="P35" s="518">
        <v>95392.213535710005</v>
      </c>
      <c r="Q35" s="518">
        <v>8655.1715220210008</v>
      </c>
      <c r="R35" s="517">
        <v>189161</v>
      </c>
      <c r="S35" s="517">
        <v>2021</v>
      </c>
      <c r="T35" s="176" t="s">
        <v>1511</v>
      </c>
      <c r="U35" s="398">
        <v>8954.8858999999993</v>
      </c>
      <c r="V35" s="398">
        <v>3142.6428999999998</v>
      </c>
      <c r="W35" s="398">
        <f t="shared" si="2"/>
        <v>5812.2429999999995</v>
      </c>
      <c r="X35" s="379">
        <v>6369</v>
      </c>
      <c r="Y35" s="398">
        <v>1983.63</v>
      </c>
      <c r="Z35" s="398">
        <v>3057.25</v>
      </c>
      <c r="AA35" s="379">
        <v>-704.27</v>
      </c>
      <c r="AB35" s="379">
        <v>12156</v>
      </c>
      <c r="AD35" s="908"/>
      <c r="AE35" s="168"/>
    </row>
    <row r="36" spans="1:31" ht="13.5" customHeight="1" thickBot="1">
      <c r="A36" s="1653">
        <v>2022</v>
      </c>
      <c r="B36" s="1654">
        <v>28238.26600367</v>
      </c>
      <c r="C36" s="1654">
        <v>23696.605142500001</v>
      </c>
      <c r="D36" s="1654">
        <v>494.79680735199997</v>
      </c>
      <c r="E36" s="1655">
        <v>49617</v>
      </c>
      <c r="F36" s="1654">
        <v>8090.7029131440004</v>
      </c>
      <c r="G36" s="1654">
        <v>2974.9060998199998</v>
      </c>
      <c r="H36" s="1653">
        <v>2022</v>
      </c>
      <c r="I36" s="1654">
        <v>3156.8323895200001</v>
      </c>
      <c r="J36" s="1653">
        <v>3895</v>
      </c>
      <c r="K36" s="1656">
        <v>103950.010347887</v>
      </c>
      <c r="L36" s="1656">
        <v>82559.901409586993</v>
      </c>
      <c r="M36" s="1656">
        <v>6137.6551727409997</v>
      </c>
      <c r="N36" s="1657">
        <v>147621</v>
      </c>
      <c r="O36" s="1656">
        <v>140278.97926470099</v>
      </c>
      <c r="P36" s="1656">
        <v>109231.412651907</v>
      </c>
      <c r="Q36" s="1656">
        <v>9789.2843696130003</v>
      </c>
      <c r="R36" s="1657">
        <v>201133</v>
      </c>
      <c r="S36" s="1657">
        <v>2022</v>
      </c>
      <c r="T36" s="345" t="s">
        <v>1602</v>
      </c>
      <c r="U36" s="347">
        <v>9035.0049999999992</v>
      </c>
      <c r="V36" s="347">
        <v>2849.3778000000002</v>
      </c>
      <c r="W36" s="347">
        <f t="shared" si="2"/>
        <v>6185.627199999999</v>
      </c>
      <c r="X36" s="346">
        <v>6391</v>
      </c>
      <c r="Y36" s="347">
        <v>1788.53</v>
      </c>
      <c r="Z36" s="347">
        <v>3360.88</v>
      </c>
      <c r="AA36" s="346">
        <v>-1834.47</v>
      </c>
      <c r="AB36" s="346">
        <v>13551</v>
      </c>
      <c r="AD36" s="168"/>
      <c r="AE36" s="168"/>
    </row>
    <row r="37" spans="1:31" ht="13.5" customHeight="1">
      <c r="A37" s="586"/>
      <c r="B37" s="587"/>
      <c r="C37" s="953"/>
      <c r="D37" s="518"/>
      <c r="E37" s="517"/>
      <c r="F37" s="518"/>
      <c r="G37" s="518"/>
      <c r="H37" s="517"/>
      <c r="I37" s="518"/>
      <c r="J37" s="519"/>
      <c r="K37" s="70"/>
      <c r="L37" s="70"/>
      <c r="M37" s="70"/>
      <c r="N37" s="70"/>
      <c r="O37" s="70"/>
      <c r="P37" s="70"/>
      <c r="Q37" s="70"/>
      <c r="R37" s="70"/>
      <c r="S37" s="70"/>
      <c r="T37" s="176" t="s">
        <v>1668</v>
      </c>
      <c r="U37" s="398">
        <v>8635.3417000000009</v>
      </c>
      <c r="V37" s="398">
        <v>2858.1232</v>
      </c>
      <c r="W37" s="398">
        <f t="shared" si="2"/>
        <v>5777.2185000000009</v>
      </c>
      <c r="X37" s="379">
        <v>6407</v>
      </c>
      <c r="Y37" s="398">
        <v>1959.1311442470001</v>
      </c>
      <c r="Z37" s="398">
        <v>3564.6620677000001</v>
      </c>
      <c r="AA37" s="379">
        <v>-1742.4104153000001</v>
      </c>
      <c r="AB37" s="379">
        <v>13275</v>
      </c>
      <c r="AD37" s="168"/>
      <c r="AE37" s="168"/>
    </row>
    <row r="38" spans="1:31" ht="13.5" customHeight="1">
      <c r="A38" s="586" t="s">
        <v>384</v>
      </c>
      <c r="B38" s="2433" t="s">
        <v>1299</v>
      </c>
      <c r="C38" s="2433"/>
      <c r="D38" s="822"/>
      <c r="E38" s="822"/>
      <c r="F38" s="822"/>
      <c r="G38" s="822"/>
      <c r="H38" s="822"/>
      <c r="I38" s="822"/>
      <c r="J38" s="822"/>
      <c r="K38" s="70"/>
      <c r="L38" s="70"/>
      <c r="M38" s="70"/>
      <c r="N38" s="70"/>
      <c r="O38" s="759"/>
      <c r="P38" s="70"/>
      <c r="Q38" s="70"/>
      <c r="R38" s="759"/>
      <c r="S38" s="70"/>
      <c r="T38" s="1685" t="s">
        <v>2018</v>
      </c>
      <c r="U38" s="1686">
        <v>32199.101299999998</v>
      </c>
      <c r="V38" s="1687">
        <v>2952.0945999999999</v>
      </c>
      <c r="W38" s="1687">
        <f t="shared" si="2"/>
        <v>29247.006699999998</v>
      </c>
      <c r="X38" s="1688">
        <v>6201</v>
      </c>
      <c r="Y38" s="1689">
        <v>2190.0319221</v>
      </c>
      <c r="Z38" s="407">
        <v>3730.5874588000001</v>
      </c>
      <c r="AA38" s="407">
        <v>-1563.2522366000001</v>
      </c>
      <c r="AB38" s="758">
        <v>11595</v>
      </c>
      <c r="AD38" s="1087"/>
    </row>
    <row r="39" spans="1:31" ht="12" customHeight="1" thickBot="1">
      <c r="A39" s="586"/>
      <c r="B39" s="2433" t="s">
        <v>1264</v>
      </c>
      <c r="C39" s="2433"/>
      <c r="D39" s="2433"/>
      <c r="E39" s="2433"/>
      <c r="F39" s="822"/>
      <c r="G39" s="822"/>
      <c r="H39" s="822"/>
      <c r="I39" s="822"/>
      <c r="J39" s="822"/>
      <c r="K39" s="70"/>
      <c r="L39" s="70"/>
      <c r="M39" s="70"/>
      <c r="N39" s="70"/>
      <c r="O39" s="759"/>
      <c r="P39" s="70"/>
      <c r="Q39" s="70"/>
      <c r="R39" s="1089"/>
      <c r="S39" s="1410"/>
      <c r="T39" s="1690" t="s">
        <v>2299</v>
      </c>
      <c r="U39" s="1691">
        <v>51886.2</v>
      </c>
      <c r="V39" s="1692">
        <v>4617.75</v>
      </c>
      <c r="W39" s="1692">
        <f t="shared" si="2"/>
        <v>47268.45</v>
      </c>
      <c r="X39" s="1693">
        <v>6060</v>
      </c>
      <c r="Y39" s="1694" t="s">
        <v>298</v>
      </c>
      <c r="Z39" s="1695" t="s">
        <v>298</v>
      </c>
      <c r="AA39" s="1695" t="s">
        <v>298</v>
      </c>
      <c r="AB39" s="1696" t="s">
        <v>298</v>
      </c>
    </row>
    <row r="40" spans="1:31" ht="12.75" customHeight="1">
      <c r="A40" s="120"/>
      <c r="K40" s="70"/>
      <c r="L40" s="70"/>
      <c r="M40" s="70"/>
      <c r="N40" s="70"/>
      <c r="O40" s="70"/>
      <c r="P40" s="70"/>
      <c r="Q40" s="70"/>
      <c r="R40" s="70"/>
      <c r="S40" s="70"/>
      <c r="T40" s="2446" t="s">
        <v>1667</v>
      </c>
      <c r="U40" s="2446"/>
      <c r="V40" s="2446"/>
      <c r="W40" s="2446"/>
      <c r="X40" s="2446"/>
      <c r="Y40" s="2446"/>
      <c r="Z40" s="2446"/>
      <c r="AA40" s="2446"/>
      <c r="AB40" s="2446"/>
    </row>
    <row r="41" spans="1:31" ht="12" customHeight="1">
      <c r="B41" s="211"/>
      <c r="C41" s="211"/>
      <c r="D41" s="6"/>
      <c r="H41" s="9" t="s">
        <v>647</v>
      </c>
      <c r="K41" s="118"/>
      <c r="L41" s="118"/>
      <c r="M41" s="118"/>
      <c r="N41" s="118"/>
      <c r="O41" s="686"/>
      <c r="P41" s="686"/>
      <c r="Q41" s="686"/>
      <c r="R41" s="686"/>
      <c r="S41" s="1088"/>
      <c r="T41" s="2446" t="s">
        <v>1470</v>
      </c>
      <c r="U41" s="2446"/>
      <c r="V41" s="2446"/>
      <c r="W41" s="2446"/>
      <c r="X41" s="2446"/>
      <c r="Y41" s="2446"/>
      <c r="Z41" s="2446"/>
      <c r="AA41" s="2446"/>
      <c r="AB41" s="2446"/>
    </row>
    <row r="42" spans="1:31" ht="11.25" customHeight="1">
      <c r="A42" s="122"/>
      <c r="B42" s="122"/>
      <c r="K42" s="125"/>
      <c r="L42" s="125"/>
      <c r="M42" s="125"/>
      <c r="N42" s="125"/>
      <c r="O42" s="687"/>
      <c r="P42" s="687"/>
      <c r="Q42" s="687"/>
      <c r="R42" s="687"/>
      <c r="S42" s="125"/>
      <c r="T42" s="2435" t="s">
        <v>1378</v>
      </c>
      <c r="U42" s="2435"/>
      <c r="V42" s="2435"/>
      <c r="W42" s="2435"/>
      <c r="X42" s="2435"/>
      <c r="Y42" s="2435"/>
      <c r="Z42" s="2435"/>
      <c r="AA42" s="2435"/>
      <c r="AB42" s="2435"/>
    </row>
    <row r="43" spans="1:31">
      <c r="A43" s="122"/>
      <c r="B43" s="122"/>
      <c r="C43" s="122"/>
      <c r="D43" s="122"/>
      <c r="E43" s="122"/>
      <c r="F43" s="122"/>
      <c r="G43" s="122"/>
      <c r="I43" s="122"/>
      <c r="J43" s="122"/>
      <c r="K43" s="122"/>
      <c r="L43" s="122"/>
      <c r="M43" s="122"/>
      <c r="N43" s="122"/>
      <c r="O43" s="125"/>
      <c r="P43" s="125"/>
      <c r="Q43" s="125"/>
      <c r="R43" s="125"/>
      <c r="S43" s="125"/>
      <c r="T43" s="2434" t="s">
        <v>1307</v>
      </c>
      <c r="U43" s="2434"/>
      <c r="V43" s="2434"/>
      <c r="W43" s="2434"/>
      <c r="X43" s="2434"/>
      <c r="Y43" s="2434"/>
      <c r="Z43" s="7"/>
      <c r="AA43" s="726"/>
      <c r="AB43" s="7"/>
    </row>
    <row r="44" spans="1:31" ht="15.75">
      <c r="B44" s="122"/>
      <c r="C44" s="122"/>
      <c r="D44" s="122"/>
      <c r="E44" s="122"/>
      <c r="F44" s="122"/>
      <c r="G44" s="122"/>
      <c r="I44" s="122"/>
      <c r="J44" s="122"/>
      <c r="K44" s="122"/>
      <c r="L44" s="122"/>
      <c r="M44" s="122"/>
      <c r="N44" s="122"/>
      <c r="O44" s="689"/>
      <c r="P44" s="689"/>
      <c r="Q44" s="689"/>
      <c r="R44" s="689"/>
    </row>
    <row r="45" spans="1:31">
      <c r="I45" s="168"/>
      <c r="K45" s="70"/>
    </row>
    <row r="46" spans="1:31" ht="15">
      <c r="I46" s="168"/>
      <c r="K46" s="70"/>
      <c r="Y46" s="688"/>
      <c r="Z46" s="688"/>
      <c r="AA46" s="688"/>
      <c r="AB46" s="688"/>
    </row>
    <row r="47" spans="1:31" ht="15">
      <c r="K47" s="70"/>
      <c r="W47" s="166"/>
      <c r="Y47" s="688"/>
      <c r="Z47" s="688"/>
      <c r="AA47" s="688"/>
      <c r="AB47" s="688"/>
    </row>
    <row r="48" spans="1:31" ht="15">
      <c r="K48" s="70"/>
      <c r="Y48" s="688"/>
      <c r="Z48" s="688"/>
      <c r="AA48" s="688"/>
      <c r="AB48" s="688"/>
    </row>
    <row r="49" spans="11:28" ht="15">
      <c r="K49" s="70"/>
      <c r="Y49" s="690"/>
      <c r="Z49" s="690"/>
      <c r="AA49" s="690"/>
      <c r="AB49" s="690"/>
    </row>
    <row r="50" spans="11:28">
      <c r="K50" s="70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1:AB41"/>
    <mergeCell ref="T40:AB40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9:E39"/>
    <mergeCell ref="B38:C38"/>
    <mergeCell ref="T43:Y43"/>
    <mergeCell ref="T42:AB42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I109"/>
  <sheetViews>
    <sheetView zoomScale="130" zoomScaleNormal="130" workbookViewId="0">
      <pane xSplit="1" ySplit="3" topLeftCell="B33" activePane="bottomRight" state="frozen"/>
      <selection activeCell="W54" sqref="W54"/>
      <selection pane="topRight" activeCell="W54" sqref="W54"/>
      <selection pane="bottomLeft" activeCell="W54" sqref="W54"/>
      <selection pane="bottomRight" activeCell="C43" sqref="C43:C49"/>
    </sheetView>
  </sheetViews>
  <sheetFormatPr defaultColWidth="9.140625" defaultRowHeight="11.25"/>
  <cols>
    <col min="1" max="1" width="13.140625" style="1543" customWidth="1"/>
    <col min="2" max="2" width="19.85546875" style="37" customWidth="1"/>
    <col min="3" max="3" width="20.28515625" style="37" customWidth="1"/>
    <col min="4" max="4" width="20.14062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7" customFormat="1" ht="47.25" customHeight="1">
      <c r="A1" s="2452" t="s">
        <v>1354</v>
      </c>
      <c r="B1" s="2452"/>
      <c r="C1" s="2452"/>
      <c r="D1" s="129" t="s">
        <v>386</v>
      </c>
      <c r="E1" s="128"/>
      <c r="F1" s="128"/>
      <c r="G1" s="128"/>
    </row>
    <row r="2" spans="1:8" s="130" customFormat="1" ht="12" customHeight="1">
      <c r="A2" s="2453" t="s">
        <v>498</v>
      </c>
      <c r="B2" s="2455" t="s">
        <v>60</v>
      </c>
      <c r="C2" s="2050" t="s">
        <v>61</v>
      </c>
      <c r="D2" s="2457"/>
    </row>
    <row r="3" spans="1:8" s="130" customFormat="1" ht="12.75" customHeight="1">
      <c r="A3" s="2454"/>
      <c r="B3" s="2456"/>
      <c r="C3" s="1539" t="s">
        <v>1186</v>
      </c>
      <c r="D3" s="1539" t="s">
        <v>1638</v>
      </c>
    </row>
    <row r="4" spans="1:8" ht="11.25" customHeight="1">
      <c r="A4" s="335" t="s">
        <v>81</v>
      </c>
      <c r="B4" s="339">
        <v>427180</v>
      </c>
      <c r="C4" s="313">
        <v>10987.4</v>
      </c>
      <c r="D4" s="315">
        <v>76010.833200000008</v>
      </c>
      <c r="E4" s="658"/>
      <c r="F4" s="658"/>
    </row>
    <row r="5" spans="1:8" s="215" customFormat="1" ht="11.25" customHeight="1">
      <c r="A5" s="363" t="s">
        <v>192</v>
      </c>
      <c r="B5" s="510">
        <v>439375</v>
      </c>
      <c r="C5" s="29">
        <v>11650.32</v>
      </c>
      <c r="D5" s="30">
        <v>83008.885067382464</v>
      </c>
      <c r="E5" s="659"/>
      <c r="F5" s="659"/>
    </row>
    <row r="6" spans="1:8" s="215" customFormat="1" ht="11.25" customHeight="1">
      <c r="A6" s="335" t="s">
        <v>757</v>
      </c>
      <c r="B6" s="339">
        <v>691402</v>
      </c>
      <c r="C6" s="313">
        <v>12843.429999999998</v>
      </c>
      <c r="D6" s="315">
        <v>101591.53129999999</v>
      </c>
      <c r="E6" s="659"/>
      <c r="F6" s="658"/>
    </row>
    <row r="7" spans="1:8" s="215" customFormat="1" ht="11.25" customHeight="1">
      <c r="A7" s="363" t="s">
        <v>866</v>
      </c>
      <c r="B7" s="510">
        <v>441301</v>
      </c>
      <c r="C7" s="29">
        <v>14461.15</v>
      </c>
      <c r="D7" s="30">
        <v>115646.15801927802</v>
      </c>
      <c r="E7" s="659"/>
      <c r="F7" s="659"/>
    </row>
    <row r="8" spans="1:8" s="215" customFormat="1" ht="11.25" customHeight="1">
      <c r="A8" s="335" t="s">
        <v>1051</v>
      </c>
      <c r="B8" s="316">
        <v>408870</v>
      </c>
      <c r="C8" s="315">
        <v>14228.3</v>
      </c>
      <c r="D8" s="315">
        <v>110582.38341698999</v>
      </c>
      <c r="E8" s="659"/>
      <c r="F8" s="658"/>
    </row>
    <row r="9" spans="1:8" s="215" customFormat="1" ht="11.25" customHeight="1">
      <c r="A9" s="363" t="s">
        <v>1105</v>
      </c>
      <c r="B9" s="752">
        <v>461829</v>
      </c>
      <c r="C9" s="752">
        <v>15316.91</v>
      </c>
      <c r="D9" s="753">
        <v>118982.31547276099</v>
      </c>
      <c r="E9" s="659"/>
      <c r="F9" s="659"/>
    </row>
    <row r="10" spans="1:8" s="215" customFormat="1" ht="11.25" customHeight="1">
      <c r="A10" s="603" t="s">
        <v>1231</v>
      </c>
      <c r="B10" s="604">
        <v>684537</v>
      </c>
      <c r="C10" s="827">
        <v>14931.18</v>
      </c>
      <c r="D10" s="827">
        <v>116856.72088078099</v>
      </c>
      <c r="E10" s="659"/>
      <c r="F10" s="658"/>
    </row>
    <row r="11" spans="1:8" s="215" customFormat="1" ht="11.25" customHeight="1">
      <c r="A11" s="561" t="s">
        <v>1274</v>
      </c>
      <c r="B11" s="949">
        <v>905326</v>
      </c>
      <c r="C11" s="950">
        <v>12769.45</v>
      </c>
      <c r="D11" s="950">
        <v>101098.96241416999</v>
      </c>
      <c r="E11" s="659"/>
      <c r="F11" s="659"/>
    </row>
    <row r="12" spans="1:8" s="215" customFormat="1" ht="11.25" customHeight="1">
      <c r="A12" s="603" t="s">
        <v>1392</v>
      </c>
      <c r="B12" s="604">
        <v>880037</v>
      </c>
      <c r="C12" s="827">
        <v>14981.689999999999</v>
      </c>
      <c r="D12" s="827">
        <v>123156.004940445</v>
      </c>
      <c r="E12" s="659"/>
      <c r="F12" s="659"/>
    </row>
    <row r="13" spans="1:8" s="215" customFormat="1" ht="11.25" customHeight="1">
      <c r="A13" s="561" t="s">
        <v>1511</v>
      </c>
      <c r="B13" s="949">
        <v>692978</v>
      </c>
      <c r="C13" s="950">
        <v>16419.63</v>
      </c>
      <c r="D13" s="950">
        <v>138006.57168470003</v>
      </c>
      <c r="E13" s="659"/>
      <c r="F13" s="659"/>
    </row>
    <row r="14" spans="1:8" s="215" customFormat="1" ht="11.25" customHeight="1">
      <c r="A14" s="603" t="s">
        <v>1602</v>
      </c>
      <c r="B14" s="604">
        <v>530578</v>
      </c>
      <c r="C14" s="827">
        <v>18205.010000000002</v>
      </c>
      <c r="D14" s="827">
        <v>154353.0611469</v>
      </c>
    </row>
    <row r="15" spans="1:8" s="215" customFormat="1" ht="11.25" customHeight="1">
      <c r="A15" s="588" t="s">
        <v>1668</v>
      </c>
      <c r="B15" s="634">
        <v>280258</v>
      </c>
      <c r="C15" s="360">
        <v>24777.71</v>
      </c>
      <c r="D15" s="360">
        <v>210130.60146709997</v>
      </c>
      <c r="E15" s="818"/>
      <c r="F15" s="659"/>
      <c r="G15" s="659"/>
      <c r="H15" s="659"/>
    </row>
    <row r="16" spans="1:8" s="215" customFormat="1" ht="11.25" customHeight="1">
      <c r="A16" s="640" t="s">
        <v>2018</v>
      </c>
      <c r="B16" s="647">
        <f>SUM(B17:B28)</f>
        <v>988910</v>
      </c>
      <c r="C16" s="353">
        <f>SUM(C17:C28)</f>
        <v>21031.68</v>
      </c>
      <c r="D16" s="353">
        <f>SUM(D17:D28)</f>
        <v>181580.54109750001</v>
      </c>
      <c r="E16" s="818"/>
      <c r="F16" s="659"/>
      <c r="G16" s="659"/>
      <c r="H16" s="659"/>
    </row>
    <row r="17" spans="1:9" s="215" customFormat="1" ht="11.25" customHeight="1">
      <c r="A17" s="577" t="s">
        <v>576</v>
      </c>
      <c r="B17" s="805">
        <v>12380</v>
      </c>
      <c r="C17" s="602">
        <v>1871.49</v>
      </c>
      <c r="D17" s="602">
        <v>15870.9276513</v>
      </c>
      <c r="E17" s="818"/>
      <c r="F17" s="659"/>
      <c r="G17" s="659"/>
      <c r="H17" s="659"/>
    </row>
    <row r="18" spans="1:9" s="215" customFormat="1" ht="11.25" customHeight="1">
      <c r="A18" s="580" t="s">
        <v>577</v>
      </c>
      <c r="B18" s="671">
        <v>19604</v>
      </c>
      <c r="C18" s="605">
        <v>1810.1</v>
      </c>
      <c r="D18" s="605">
        <v>15377.215823</v>
      </c>
      <c r="E18" s="818"/>
      <c r="F18" s="659"/>
      <c r="G18" s="659"/>
      <c r="H18" s="659"/>
    </row>
    <row r="19" spans="1:9" s="215" customFormat="1" ht="11.25" customHeight="1">
      <c r="A19" s="577" t="s">
        <v>571</v>
      </c>
      <c r="B19" s="805">
        <v>42008</v>
      </c>
      <c r="C19" s="602">
        <v>1726.71</v>
      </c>
      <c r="D19" s="602">
        <v>14721.704987700003</v>
      </c>
      <c r="E19" s="818"/>
      <c r="F19" s="659"/>
      <c r="G19" s="659"/>
      <c r="H19" s="659"/>
    </row>
    <row r="20" spans="1:9" s="215" customFormat="1" ht="11.25" customHeight="1">
      <c r="A20" s="580" t="s">
        <v>578</v>
      </c>
      <c r="B20" s="671">
        <v>65223</v>
      </c>
      <c r="C20" s="605">
        <v>1646.87</v>
      </c>
      <c r="D20" s="605">
        <v>14099.199912700004</v>
      </c>
      <c r="E20" s="818"/>
      <c r="F20" s="659"/>
      <c r="G20" s="659"/>
      <c r="H20" s="659"/>
    </row>
    <row r="21" spans="1:9" s="215" customFormat="1" ht="11.25" customHeight="1">
      <c r="A21" s="577" t="s">
        <v>579</v>
      </c>
      <c r="B21" s="805">
        <v>102861</v>
      </c>
      <c r="C21" s="602">
        <v>1553.7</v>
      </c>
      <c r="D21" s="602">
        <v>13326.861749999998</v>
      </c>
      <c r="E21" s="818"/>
      <c r="F21" s="659"/>
      <c r="G21" s="659"/>
      <c r="H21" s="659"/>
    </row>
    <row r="22" spans="1:9" s="215" customFormat="1" ht="11.25" customHeight="1">
      <c r="A22" s="580" t="s">
        <v>572</v>
      </c>
      <c r="B22" s="671">
        <v>131316</v>
      </c>
      <c r="C22" s="605">
        <v>1630.66</v>
      </c>
      <c r="D22" s="605">
        <v>13991.0628</v>
      </c>
      <c r="E22" s="818"/>
      <c r="F22" s="659"/>
      <c r="G22" s="659"/>
      <c r="H22" s="659"/>
    </row>
    <row r="23" spans="1:9" s="215" customFormat="1" ht="11.25" customHeight="1">
      <c r="A23" s="577" t="s">
        <v>580</v>
      </c>
      <c r="B23" s="805">
        <v>109698</v>
      </c>
      <c r="C23" s="602">
        <v>1704.53</v>
      </c>
      <c r="D23" s="602">
        <v>14651.083071400004</v>
      </c>
      <c r="E23" s="818"/>
      <c r="F23" s="659"/>
      <c r="G23" s="659"/>
      <c r="H23" s="659"/>
    </row>
    <row r="24" spans="1:9" s="215" customFormat="1" ht="11.25" customHeight="1">
      <c r="A24" s="580" t="s">
        <v>581</v>
      </c>
      <c r="B24" s="671">
        <v>92569</v>
      </c>
      <c r="C24" s="605">
        <v>1494.47</v>
      </c>
      <c r="D24" s="605">
        <v>12852.442000000001</v>
      </c>
      <c r="E24" s="818"/>
      <c r="F24" s="659"/>
      <c r="G24" s="659"/>
      <c r="H24" s="659"/>
    </row>
    <row r="25" spans="1:9" s="215" customFormat="1" ht="11.25" customHeight="1">
      <c r="A25" s="577" t="s">
        <v>573</v>
      </c>
      <c r="B25" s="805">
        <v>120316</v>
      </c>
      <c r="C25" s="602">
        <v>1859.73</v>
      </c>
      <c r="D25" s="602">
        <v>16004.706198899998</v>
      </c>
      <c r="E25" s="818"/>
      <c r="F25" s="659"/>
      <c r="G25" s="659"/>
      <c r="H25" s="659"/>
      <c r="I25" s="659"/>
    </row>
    <row r="26" spans="1:9" s="215" customFormat="1" ht="11.25" customHeight="1">
      <c r="A26" s="580" t="s">
        <v>582</v>
      </c>
      <c r="B26" s="671">
        <v>103975</v>
      </c>
      <c r="C26" s="605">
        <v>2010.81</v>
      </c>
      <c r="D26" s="605">
        <v>17339.174413799999</v>
      </c>
      <c r="E26" s="818"/>
      <c r="F26" s="659"/>
      <c r="G26" s="659"/>
      <c r="H26" s="659"/>
    </row>
    <row r="27" spans="1:9" s="215" customFormat="1" ht="11.25" customHeight="1">
      <c r="A27" s="577" t="s">
        <v>583</v>
      </c>
      <c r="B27" s="805">
        <v>77421</v>
      </c>
      <c r="C27" s="602">
        <v>1885.34</v>
      </c>
      <c r="D27" s="602">
        <v>16436.903161799997</v>
      </c>
      <c r="E27" s="818"/>
      <c r="F27" s="659"/>
      <c r="G27" s="659"/>
      <c r="H27" s="659"/>
    </row>
    <row r="28" spans="1:9" s="215" customFormat="1" ht="11.25" customHeight="1">
      <c r="A28" s="580" t="s">
        <v>574</v>
      </c>
      <c r="B28" s="671">
        <v>111539</v>
      </c>
      <c r="C28" s="605">
        <v>1837.27</v>
      </c>
      <c r="D28" s="605">
        <v>16909.259326899999</v>
      </c>
      <c r="E28" s="818"/>
      <c r="F28" s="659"/>
      <c r="G28" s="659"/>
      <c r="H28" s="659"/>
    </row>
    <row r="29" spans="1:9" s="215" customFormat="1" ht="11.25" customHeight="1">
      <c r="A29" s="588" t="s">
        <v>2299</v>
      </c>
      <c r="B29" s="1641">
        <f>SUM(B30:B41)</f>
        <v>1137931</v>
      </c>
      <c r="C29" s="360">
        <f>SUM(C30:C41)</f>
        <v>21610.730000000003</v>
      </c>
      <c r="D29" s="360">
        <f>SUM(D30:D41)</f>
        <v>215073.6115537</v>
      </c>
      <c r="E29" s="818"/>
      <c r="F29" s="659"/>
      <c r="G29" s="659"/>
      <c r="H29" s="659"/>
    </row>
    <row r="30" spans="1:9" s="215" customFormat="1" ht="11.25" customHeight="1">
      <c r="A30" s="580" t="s">
        <v>576</v>
      </c>
      <c r="B30" s="671">
        <v>75499</v>
      </c>
      <c r="C30" s="605">
        <v>2096.3200000000002</v>
      </c>
      <c r="D30" s="605">
        <v>19681.7824736</v>
      </c>
      <c r="E30" s="818"/>
      <c r="F30" s="659"/>
      <c r="G30" s="659"/>
      <c r="H30" s="659"/>
    </row>
    <row r="31" spans="1:9" s="215" customFormat="1" ht="11.25" customHeight="1">
      <c r="A31" s="577" t="s">
        <v>577</v>
      </c>
      <c r="B31" s="805">
        <v>92908</v>
      </c>
      <c r="C31" s="602">
        <v>2036.93</v>
      </c>
      <c r="D31" s="602">
        <v>19331.6063808</v>
      </c>
      <c r="E31" s="818"/>
      <c r="F31" s="659"/>
      <c r="G31" s="659"/>
      <c r="H31" s="659"/>
    </row>
    <row r="32" spans="1:9" s="215" customFormat="1" ht="11.25" customHeight="1">
      <c r="A32" s="580" t="s">
        <v>571</v>
      </c>
      <c r="B32" s="671">
        <v>90814</v>
      </c>
      <c r="C32" s="605">
        <v>1539.6</v>
      </c>
      <c r="D32" s="605">
        <v>14720.946983999998</v>
      </c>
      <c r="E32" s="818"/>
      <c r="F32" s="659"/>
      <c r="G32" s="659"/>
      <c r="H32" s="659"/>
    </row>
    <row r="33" spans="1:8" s="215" customFormat="1" ht="11.25" customHeight="1">
      <c r="A33" s="577" t="s">
        <v>578</v>
      </c>
      <c r="B33" s="805">
        <v>77371</v>
      </c>
      <c r="C33" s="602">
        <v>1525.54</v>
      </c>
      <c r="D33" s="602">
        <v>14739.065731600002</v>
      </c>
      <c r="E33" s="818"/>
      <c r="F33" s="659"/>
      <c r="G33" s="659"/>
      <c r="H33" s="659"/>
    </row>
    <row r="34" spans="1:8" s="215" customFormat="1" ht="11.25" customHeight="1">
      <c r="A34" s="580" t="s">
        <v>579</v>
      </c>
      <c r="B34" s="671">
        <v>85352</v>
      </c>
      <c r="C34" s="605">
        <v>1595.17</v>
      </c>
      <c r="D34" s="605">
        <v>15571.315761799997</v>
      </c>
      <c r="E34" s="818"/>
      <c r="F34" s="659"/>
      <c r="G34" s="659"/>
      <c r="H34" s="659"/>
    </row>
    <row r="35" spans="1:8" s="215" customFormat="1" ht="11.25" customHeight="1">
      <c r="A35" s="577" t="s">
        <v>572</v>
      </c>
      <c r="B35" s="805">
        <v>98411</v>
      </c>
      <c r="C35" s="602">
        <v>1699.7</v>
      </c>
      <c r="D35" s="602">
        <v>16800.888614</v>
      </c>
      <c r="E35" s="818"/>
      <c r="F35" s="659"/>
      <c r="G35" s="659"/>
      <c r="H35" s="659"/>
    </row>
    <row r="36" spans="1:8" s="215" customFormat="1" ht="11.25" customHeight="1">
      <c r="A36" s="580" t="s">
        <v>580</v>
      </c>
      <c r="B36" s="671">
        <v>104513</v>
      </c>
      <c r="C36" s="605">
        <v>1958.87</v>
      </c>
      <c r="D36" s="605">
        <v>19566.936954299996</v>
      </c>
      <c r="E36" s="1527"/>
      <c r="F36" s="659"/>
      <c r="G36" s="659"/>
      <c r="H36" s="659"/>
    </row>
    <row r="37" spans="1:8" s="215" customFormat="1" ht="11.25" customHeight="1">
      <c r="A37" s="1518" t="s">
        <v>581</v>
      </c>
      <c r="B37" s="805">
        <v>109059</v>
      </c>
      <c r="C37" s="602">
        <v>1560.48</v>
      </c>
      <c r="D37" s="602">
        <v>15754.340798399999</v>
      </c>
      <c r="E37" s="1527"/>
      <c r="F37" s="659"/>
      <c r="G37" s="659"/>
      <c r="H37" s="659"/>
    </row>
    <row r="38" spans="1:8" s="215" customFormat="1" ht="11.25" customHeight="1">
      <c r="A38" s="580" t="s">
        <v>573</v>
      </c>
      <c r="B38" s="671">
        <v>109438</v>
      </c>
      <c r="C38" s="605">
        <v>2022.47</v>
      </c>
      <c r="D38" s="605">
        <v>20621.710860999996</v>
      </c>
      <c r="E38" s="1527"/>
      <c r="F38" s="659"/>
      <c r="G38" s="659"/>
      <c r="H38" s="659"/>
    </row>
    <row r="39" spans="1:8" s="215" customFormat="1" ht="11.25" customHeight="1">
      <c r="A39" s="1518" t="s">
        <v>582</v>
      </c>
      <c r="B39" s="805">
        <v>78833</v>
      </c>
      <c r="C39" s="602">
        <v>1684.91</v>
      </c>
      <c r="D39" s="602">
        <v>17341.093720000001</v>
      </c>
      <c r="E39" s="1527"/>
      <c r="F39" s="659"/>
      <c r="G39" s="659"/>
      <c r="H39" s="659"/>
    </row>
    <row r="40" spans="1:8" s="215" customFormat="1" ht="11.25" customHeight="1">
      <c r="A40" s="580" t="s">
        <v>583</v>
      </c>
      <c r="B40" s="671">
        <v>101558</v>
      </c>
      <c r="C40" s="605">
        <v>1691.66</v>
      </c>
      <c r="D40" s="605">
        <v>17659.052657400003</v>
      </c>
      <c r="E40" s="1527"/>
      <c r="F40" s="659"/>
      <c r="G40" s="659"/>
      <c r="H40" s="659"/>
    </row>
    <row r="41" spans="1:8" s="215" customFormat="1" ht="11.25" customHeight="1">
      <c r="A41" s="577" t="s">
        <v>574</v>
      </c>
      <c r="B41" s="805">
        <v>114175</v>
      </c>
      <c r="C41" s="602">
        <v>2199.08</v>
      </c>
      <c r="D41" s="602">
        <v>23284.870616799995</v>
      </c>
      <c r="E41" s="1527"/>
      <c r="F41" s="659"/>
      <c r="G41" s="659"/>
      <c r="H41" s="659"/>
    </row>
    <row r="42" spans="1:8" s="215" customFormat="1" ht="11.25" customHeight="1">
      <c r="A42" s="640" t="s">
        <v>2515</v>
      </c>
      <c r="B42" s="671"/>
      <c r="C42" s="605"/>
      <c r="D42" s="605"/>
      <c r="E42" s="1527"/>
      <c r="F42" s="659"/>
      <c r="G42" s="659"/>
      <c r="H42" s="659"/>
    </row>
    <row r="43" spans="1:8" s="215" customFormat="1" ht="11.25" customHeight="1">
      <c r="A43" s="577" t="s">
        <v>576</v>
      </c>
      <c r="B43" s="805">
        <v>125850</v>
      </c>
      <c r="C43" s="602">
        <v>1973.15</v>
      </c>
      <c r="D43" s="602">
        <v>21459.426917999997</v>
      </c>
      <c r="E43" s="1527"/>
      <c r="F43" s="659"/>
      <c r="G43" s="659"/>
      <c r="H43" s="659"/>
    </row>
    <row r="44" spans="1:8" s="215" customFormat="1" ht="11.25" customHeight="1">
      <c r="A44" s="580" t="s">
        <v>577</v>
      </c>
      <c r="B44" s="671">
        <v>138675</v>
      </c>
      <c r="C44" s="605">
        <v>1599.45</v>
      </c>
      <c r="D44" s="605">
        <v>17507.225954000001</v>
      </c>
      <c r="E44" s="1527"/>
      <c r="F44" s="659"/>
      <c r="G44" s="659"/>
      <c r="H44" s="659"/>
    </row>
    <row r="45" spans="1:8" s="215" customFormat="1" ht="11.25" customHeight="1">
      <c r="A45" s="577" t="s">
        <v>571</v>
      </c>
      <c r="B45" s="805">
        <v>107584</v>
      </c>
      <c r="C45" s="602">
        <v>1334.35</v>
      </c>
      <c r="D45" s="602">
        <v>14673.846949999999</v>
      </c>
      <c r="E45" s="1527"/>
      <c r="F45" s="659"/>
      <c r="G45" s="659"/>
      <c r="H45" s="659"/>
    </row>
    <row r="46" spans="1:8" s="215" customFormat="1" ht="11.25" customHeight="1">
      <c r="A46" s="580" t="s">
        <v>578</v>
      </c>
      <c r="B46" s="671">
        <v>110158</v>
      </c>
      <c r="C46" s="605">
        <v>1971.43</v>
      </c>
      <c r="D46" s="605">
        <v>21782.448355800003</v>
      </c>
      <c r="E46" s="1527"/>
      <c r="F46" s="659"/>
      <c r="G46" s="659"/>
      <c r="H46" s="659"/>
    </row>
    <row r="47" spans="1:8" s="215" customFormat="1" ht="11.25" customHeight="1">
      <c r="A47" s="577" t="s">
        <v>579</v>
      </c>
      <c r="B47" s="805">
        <v>110413</v>
      </c>
      <c r="C47" s="602">
        <v>1930.04</v>
      </c>
      <c r="D47" s="602">
        <v>21400.437923199999</v>
      </c>
      <c r="E47" s="1527"/>
      <c r="F47" s="659"/>
      <c r="G47" s="659"/>
      <c r="H47" s="659"/>
    </row>
    <row r="48" spans="1:8" s="215" customFormat="1" ht="11.25" customHeight="1">
      <c r="A48" s="580" t="s">
        <v>2782</v>
      </c>
      <c r="B48" s="671">
        <v>95197</v>
      </c>
      <c r="C48" s="605">
        <v>1991.26</v>
      </c>
      <c r="D48" s="605">
        <v>21934.483733200002</v>
      </c>
      <c r="E48" s="1527"/>
      <c r="F48" s="659"/>
      <c r="G48" s="659"/>
      <c r="H48" s="659"/>
    </row>
    <row r="49" spans="1:8" s="215" customFormat="1" ht="11.25" customHeight="1" thickBot="1">
      <c r="A49" s="1777" t="s">
        <v>580</v>
      </c>
      <c r="B49" s="1779">
        <v>87852</v>
      </c>
      <c r="C49" s="1780">
        <v>2100.9499999999998</v>
      </c>
      <c r="D49" s="1780">
        <v>23110.453724026102</v>
      </c>
      <c r="E49" s="1527"/>
      <c r="F49" s="659"/>
      <c r="G49" s="659"/>
      <c r="H49" s="659"/>
    </row>
    <row r="50" spans="1:8" ht="11.25" customHeight="1">
      <c r="A50" s="204" t="s">
        <v>1039</v>
      </c>
      <c r="B50" s="2202" t="s">
        <v>1379</v>
      </c>
      <c r="C50" s="2202"/>
      <c r="D50" s="206"/>
      <c r="E50" s="1543"/>
      <c r="F50" s="659"/>
      <c r="G50" s="659"/>
      <c r="H50" s="659"/>
    </row>
    <row r="51" spans="1:8" ht="11.25" customHeight="1">
      <c r="A51" s="204" t="s">
        <v>290</v>
      </c>
      <c r="B51" s="2202" t="s">
        <v>1347</v>
      </c>
      <c r="C51" s="2202"/>
      <c r="D51" s="258"/>
      <c r="G51" s="659"/>
    </row>
    <row r="52" spans="1:8" ht="11.25" customHeight="1">
      <c r="A52" s="663"/>
      <c r="B52" s="726" t="s">
        <v>1363</v>
      </c>
      <c r="C52" s="726"/>
      <c r="D52" s="726"/>
      <c r="G52" s="659"/>
    </row>
    <row r="53" spans="1:8">
      <c r="A53" s="63"/>
      <c r="B53" s="1001"/>
      <c r="G53" s="659"/>
    </row>
    <row r="54" spans="1:8">
      <c r="A54" s="63"/>
      <c r="C54" s="1772" t="s">
        <v>2566</v>
      </c>
    </row>
    <row r="55" spans="1:8">
      <c r="A55" s="63"/>
      <c r="B55" s="72"/>
      <c r="F55" s="658"/>
      <c r="G55" s="658"/>
      <c r="H55" s="658"/>
    </row>
    <row r="56" spans="1:8">
      <c r="A56" s="63"/>
      <c r="B56" s="653"/>
      <c r="F56" s="658"/>
      <c r="G56" s="658"/>
      <c r="H56" s="658"/>
    </row>
    <row r="57" spans="1:8">
      <c r="A57" s="63"/>
      <c r="B57" s="653"/>
      <c r="F57" s="658"/>
      <c r="G57" s="658"/>
      <c r="H57" s="658"/>
    </row>
    <row r="58" spans="1:8">
      <c r="A58" s="63"/>
      <c r="B58" s="653"/>
      <c r="F58" s="658"/>
      <c r="G58" s="658"/>
      <c r="H58" s="658"/>
    </row>
    <row r="59" spans="1:8">
      <c r="A59" s="63"/>
      <c r="B59" s="72"/>
    </row>
    <row r="60" spans="1:8">
      <c r="A60" s="63"/>
      <c r="B60" s="72"/>
    </row>
    <row r="61" spans="1:8">
      <c r="A61" s="63"/>
      <c r="B61" s="72"/>
    </row>
    <row r="62" spans="1:8">
      <c r="A62" s="63"/>
      <c r="B62" s="72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  <row r="104" spans="1:2">
      <c r="A104" s="63"/>
      <c r="B104" s="72"/>
    </row>
    <row r="105" spans="1:2">
      <c r="A105" s="63"/>
      <c r="B105" s="72"/>
    </row>
    <row r="106" spans="1:2">
      <c r="A106" s="63"/>
      <c r="B106" s="72"/>
    </row>
    <row r="107" spans="1:2">
      <c r="A107" s="63"/>
      <c r="B107" s="72"/>
    </row>
    <row r="108" spans="1:2">
      <c r="A108" s="63"/>
      <c r="B108" s="72"/>
    </row>
    <row r="109" spans="1:2">
      <c r="A109" s="63"/>
      <c r="B109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1:C51"/>
    <mergeCell ref="B50:C50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3"/>
  <sheetViews>
    <sheetView zoomScale="170" zoomScaleNormal="170" workbookViewId="0">
      <pane xSplit="1" ySplit="3" topLeftCell="B41" activePane="bottomRight" state="frozen"/>
      <selection activeCell="W54" sqref="W54"/>
      <selection pane="topRight" activeCell="W54" sqref="W54"/>
      <selection pane="bottomLeft" activeCell="W54" sqref="W54"/>
      <selection pane="bottomRight" activeCell="A29" sqref="A29:U29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07" t="s">
        <v>389</v>
      </c>
      <c r="B1" s="2207"/>
      <c r="C1" s="2207"/>
      <c r="D1" s="2207"/>
      <c r="E1" s="2207"/>
      <c r="F1" s="2207"/>
      <c r="G1" s="2207"/>
      <c r="H1" s="2207"/>
      <c r="I1" s="2207"/>
      <c r="J1" s="2207"/>
      <c r="K1" s="201" t="s">
        <v>328</v>
      </c>
      <c r="L1" s="59"/>
      <c r="M1" s="59"/>
      <c r="N1" s="59"/>
      <c r="O1" s="53"/>
      <c r="P1" s="53"/>
      <c r="Q1" s="53"/>
      <c r="R1" s="53"/>
      <c r="S1" s="53"/>
      <c r="T1" s="2207" t="s">
        <v>1148</v>
      </c>
      <c r="U1" s="2207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41" t="s">
        <v>24</v>
      </c>
      <c r="U2" s="2441"/>
    </row>
    <row r="3" spans="1:25" s="183" customFormat="1" ht="50.25" customHeight="1">
      <c r="A3" s="1027" t="s">
        <v>498</v>
      </c>
      <c r="B3" s="1024" t="s">
        <v>62</v>
      </c>
      <c r="C3" s="1024" t="s">
        <v>1411</v>
      </c>
      <c r="D3" s="1024" t="s">
        <v>1412</v>
      </c>
      <c r="E3" s="1024" t="s">
        <v>63</v>
      </c>
      <c r="F3" s="1024" t="s">
        <v>1413</v>
      </c>
      <c r="G3" s="1024" t="s">
        <v>64</v>
      </c>
      <c r="H3" s="1024" t="s">
        <v>65</v>
      </c>
      <c r="I3" s="1024" t="s">
        <v>66</v>
      </c>
      <c r="J3" s="1024" t="s">
        <v>67</v>
      </c>
      <c r="K3" s="1024" t="s">
        <v>68</v>
      </c>
      <c r="L3" s="1024" t="s">
        <v>69</v>
      </c>
      <c r="M3" s="1024" t="s">
        <v>70</v>
      </c>
      <c r="N3" s="1024" t="s">
        <v>71</v>
      </c>
      <c r="O3" s="1024" t="s">
        <v>530</v>
      </c>
      <c r="P3" s="1017" t="s">
        <v>552</v>
      </c>
      <c r="Q3" s="1017" t="s">
        <v>754</v>
      </c>
      <c r="R3" s="1017" t="s">
        <v>758</v>
      </c>
      <c r="S3" s="1017" t="s">
        <v>1586</v>
      </c>
      <c r="T3" s="1024" t="s">
        <v>72</v>
      </c>
      <c r="U3" s="1024" t="s">
        <v>494</v>
      </c>
    </row>
    <row r="4" spans="1:25" s="9" customFormat="1" ht="12.2" customHeight="1">
      <c r="A4" s="579" t="s">
        <v>81</v>
      </c>
      <c r="B4" s="559">
        <v>23709.401759999997</v>
      </c>
      <c r="C4" s="559">
        <v>13077.514040000002</v>
      </c>
      <c r="D4" s="559">
        <v>5723.8957499999997</v>
      </c>
      <c r="E4" s="559">
        <v>7050.7496800000008</v>
      </c>
      <c r="F4" s="559">
        <v>10044.25626</v>
      </c>
      <c r="G4" s="559">
        <v>10.44585</v>
      </c>
      <c r="H4" s="559">
        <v>2496.5547799999999</v>
      </c>
      <c r="I4" s="559">
        <v>2414.7833399999995</v>
      </c>
      <c r="J4" s="559">
        <v>1338.3879299999999</v>
      </c>
      <c r="K4" s="559">
        <v>114.11791000000001</v>
      </c>
      <c r="L4" s="559">
        <v>1177.0468499999997</v>
      </c>
      <c r="M4" s="559">
        <v>31.072650000000003</v>
      </c>
      <c r="N4" s="559">
        <v>101.95625</v>
      </c>
      <c r="O4" s="559">
        <v>4061.917840000001</v>
      </c>
      <c r="P4" s="559">
        <v>58.456209999999999</v>
      </c>
      <c r="Q4" s="559">
        <v>1259.92806</v>
      </c>
      <c r="R4" s="559">
        <v>143.63157000000001</v>
      </c>
      <c r="S4" s="559">
        <v>57.544499999999999</v>
      </c>
      <c r="T4" s="559">
        <v>3139.1719699999944</v>
      </c>
      <c r="U4" s="559">
        <f t="shared" ref="U4:U7" si="0">SUM(B4:T4)</f>
        <v>76010.833200000008</v>
      </c>
      <c r="V4" s="88"/>
      <c r="W4" s="88"/>
      <c r="X4" s="88"/>
      <c r="Y4" s="166"/>
    </row>
    <row r="5" spans="1:25" s="168" customFormat="1" ht="12.2" customHeight="1">
      <c r="A5" s="612" t="s">
        <v>192</v>
      </c>
      <c r="B5" s="558">
        <v>23447.611522103758</v>
      </c>
      <c r="C5" s="558">
        <v>14274.536554243999</v>
      </c>
      <c r="D5" s="558">
        <v>6329.345799345223</v>
      </c>
      <c r="E5" s="558">
        <v>7668.545797496</v>
      </c>
      <c r="F5" s="558">
        <v>13162.814794050668</v>
      </c>
      <c r="G5" s="558">
        <v>42.006690047596507</v>
      </c>
      <c r="H5" s="558">
        <v>2273.663133048</v>
      </c>
      <c r="I5" s="558">
        <v>2378.4981804742797</v>
      </c>
      <c r="J5" s="558">
        <v>1443.4474231873241</v>
      </c>
      <c r="K5" s="558">
        <v>184.06482744244911</v>
      </c>
      <c r="L5" s="558">
        <v>1326.4480618323998</v>
      </c>
      <c r="M5" s="558">
        <v>16.463787679999999</v>
      </c>
      <c r="N5" s="558">
        <v>108.62308996920061</v>
      </c>
      <c r="O5" s="558">
        <v>5011.1663160175985</v>
      </c>
      <c r="P5" s="558">
        <v>93.970096692639999</v>
      </c>
      <c r="Q5" s="558">
        <v>1538.1769608763173</v>
      </c>
      <c r="R5" s="558">
        <v>170.3696918419937</v>
      </c>
      <c r="S5" s="558">
        <v>79.384371033026895</v>
      </c>
      <c r="T5" s="558">
        <v>3459.7479699999994</v>
      </c>
      <c r="U5" s="670">
        <f t="shared" si="0"/>
        <v>83008.885067382464</v>
      </c>
      <c r="V5" s="505"/>
      <c r="W5" s="505"/>
      <c r="X5" s="505"/>
    </row>
    <row r="6" spans="1:25" s="9" customFormat="1" ht="12.2" customHeight="1">
      <c r="A6" s="579" t="s">
        <v>757</v>
      </c>
      <c r="B6" s="559">
        <v>29163.283242118639</v>
      </c>
      <c r="C6" s="559">
        <v>19038.108899337632</v>
      </c>
      <c r="D6" s="559">
        <v>7809.7835324582902</v>
      </c>
      <c r="E6" s="559">
        <v>9385.6420626336549</v>
      </c>
      <c r="F6" s="559">
        <v>11828.910059940725</v>
      </c>
      <c r="G6" s="559">
        <v>102.87052779546001</v>
      </c>
      <c r="H6" s="559">
        <v>2651.53684450951</v>
      </c>
      <c r="I6" s="559">
        <v>3174.0609841537071</v>
      </c>
      <c r="J6" s="559">
        <v>2481.4516458887801</v>
      </c>
      <c r="K6" s="559">
        <v>275.82418570616346</v>
      </c>
      <c r="L6" s="559">
        <v>2371.4713983471402</v>
      </c>
      <c r="M6" s="559">
        <v>8.9624438679999994</v>
      </c>
      <c r="N6" s="559">
        <v>173.68251222769157</v>
      </c>
      <c r="O6" s="559">
        <v>6712.3823075712635</v>
      </c>
      <c r="P6" s="559">
        <v>422.0270226909729</v>
      </c>
      <c r="Q6" s="559">
        <v>1914.8794293305637</v>
      </c>
      <c r="R6" s="559">
        <v>239.72250396515088</v>
      </c>
      <c r="S6" s="559">
        <v>178.82062360774498</v>
      </c>
      <c r="T6" s="559">
        <v>3658.1110738488965</v>
      </c>
      <c r="U6" s="559">
        <f t="shared" si="0"/>
        <v>101591.53129999999</v>
      </c>
      <c r="V6" s="88"/>
      <c r="W6" s="88"/>
      <c r="X6" s="88"/>
      <c r="Y6" s="166"/>
    </row>
    <row r="7" spans="1:25" s="168" customFormat="1" ht="12.2" customHeight="1">
      <c r="A7" s="612" t="s">
        <v>866</v>
      </c>
      <c r="B7" s="558">
        <v>30645.329417797999</v>
      </c>
      <c r="C7" s="558">
        <v>22629.954310562003</v>
      </c>
      <c r="D7" s="558">
        <v>7944.261095199</v>
      </c>
      <c r="E7" s="558">
        <v>9487.7621551789998</v>
      </c>
      <c r="F7" s="558">
        <v>14854.690027008</v>
      </c>
      <c r="G7" s="558">
        <v>459.92579137900003</v>
      </c>
      <c r="H7" s="558">
        <v>2297.8989676470005</v>
      </c>
      <c r="I7" s="558">
        <v>4875.3607362970006</v>
      </c>
      <c r="J7" s="558">
        <v>3983.3948069319999</v>
      </c>
      <c r="K7" s="558">
        <v>206.712431503</v>
      </c>
      <c r="L7" s="558">
        <v>2890.2409015500002</v>
      </c>
      <c r="M7" s="558">
        <v>21.251621922999998</v>
      </c>
      <c r="N7" s="558">
        <v>169.73017864899998</v>
      </c>
      <c r="O7" s="558">
        <v>7967.163443454001</v>
      </c>
      <c r="P7" s="558">
        <v>488.01441817900002</v>
      </c>
      <c r="Q7" s="558">
        <v>1866.267097298</v>
      </c>
      <c r="R7" s="558">
        <v>494.83839057</v>
      </c>
      <c r="S7" s="558">
        <v>156.27197931100002</v>
      </c>
      <c r="T7" s="558">
        <v>4207.0907388400001</v>
      </c>
      <c r="U7" s="670">
        <f t="shared" si="0"/>
        <v>115646.158509278</v>
      </c>
      <c r="V7" s="505"/>
      <c r="W7" s="505"/>
      <c r="X7" s="505"/>
    </row>
    <row r="8" spans="1:25" s="29" customFormat="1" ht="12.2" customHeight="1">
      <c r="A8" s="580" t="s">
        <v>1051</v>
      </c>
      <c r="B8" s="559">
        <v>24240.140711880998</v>
      </c>
      <c r="C8" s="559">
        <v>20866.964531202</v>
      </c>
      <c r="D8" s="559">
        <v>7004.6693670379991</v>
      </c>
      <c r="E8" s="559">
        <v>8602.8400845840006</v>
      </c>
      <c r="F8" s="559">
        <v>18056.862406150001</v>
      </c>
      <c r="G8" s="559">
        <v>559.41628836799998</v>
      </c>
      <c r="H8" s="559">
        <v>2001.5196785359999</v>
      </c>
      <c r="I8" s="559">
        <v>5448.4327879120001</v>
      </c>
      <c r="J8" s="559">
        <v>3335.1378381119998</v>
      </c>
      <c r="K8" s="559">
        <v>209.31088224700002</v>
      </c>
      <c r="L8" s="559">
        <v>3570.1673695179998</v>
      </c>
      <c r="M8" s="559">
        <v>3.0288693630000005</v>
      </c>
      <c r="N8" s="559">
        <v>132.67317405499998</v>
      </c>
      <c r="O8" s="559">
        <v>8274.3293595220002</v>
      </c>
      <c r="P8" s="559">
        <v>422.62113959999994</v>
      </c>
      <c r="Q8" s="559">
        <v>2095.1929835080005</v>
      </c>
      <c r="R8" s="559">
        <v>455.27028396500003</v>
      </c>
      <c r="S8" s="559">
        <v>137.56719587499998</v>
      </c>
      <c r="T8" s="559">
        <v>5166.238465553999</v>
      </c>
      <c r="U8" s="559">
        <v>110582.38341698998</v>
      </c>
      <c r="V8" s="505"/>
      <c r="W8" s="88"/>
      <c r="X8" s="88"/>
    </row>
    <row r="9" spans="1:25" s="29" customFormat="1" ht="12.2" customHeight="1">
      <c r="A9" s="577" t="s">
        <v>1105</v>
      </c>
      <c r="B9" s="558">
        <v>25987.258654580997</v>
      </c>
      <c r="C9" s="558">
        <v>21934.982243472998</v>
      </c>
      <c r="D9" s="558">
        <v>6309.8007089949997</v>
      </c>
      <c r="E9" s="558">
        <v>8371.9666337629988</v>
      </c>
      <c r="F9" s="558">
        <v>18489.105624444001</v>
      </c>
      <c r="G9" s="558">
        <v>355.14259886400004</v>
      </c>
      <c r="H9" s="558">
        <v>2409.4986989259996</v>
      </c>
      <c r="I9" s="558">
        <v>7109.6637192180006</v>
      </c>
      <c r="J9" s="558">
        <v>3444.4421886290006</v>
      </c>
      <c r="K9" s="558">
        <v>164.36111672899997</v>
      </c>
      <c r="L9" s="558">
        <v>4306.5368910809993</v>
      </c>
      <c r="M9" s="558">
        <v>1.0878520650000001</v>
      </c>
      <c r="N9" s="558">
        <v>126.68805762700001</v>
      </c>
      <c r="O9" s="558">
        <v>10732.610499937999</v>
      </c>
      <c r="P9" s="558">
        <v>480.40710343800004</v>
      </c>
      <c r="Q9" s="558">
        <v>2020.3891492669998</v>
      </c>
      <c r="R9" s="558">
        <v>469.14853845199997</v>
      </c>
      <c r="S9" s="558">
        <v>152.87326095199998</v>
      </c>
      <c r="T9" s="558">
        <v>6116.3519323189985</v>
      </c>
      <c r="U9" s="558">
        <v>118982.31547276098</v>
      </c>
      <c r="V9" s="505"/>
      <c r="W9" s="505"/>
      <c r="X9" s="505"/>
    </row>
    <row r="10" spans="1:25" s="29" customFormat="1" ht="12.2" customHeight="1">
      <c r="A10" s="580" t="s">
        <v>1231</v>
      </c>
      <c r="B10" s="559">
        <v>23165.843384732998</v>
      </c>
      <c r="C10" s="559">
        <v>21248.75908046</v>
      </c>
      <c r="D10" s="559">
        <v>6747.2028958150004</v>
      </c>
      <c r="E10" s="559">
        <v>8122.9117313530023</v>
      </c>
      <c r="F10" s="559">
        <v>18889.249921554001</v>
      </c>
      <c r="G10" s="559">
        <v>95.893180836999989</v>
      </c>
      <c r="H10" s="559">
        <v>3379.2433817339997</v>
      </c>
      <c r="I10" s="559">
        <v>7132.6719513709986</v>
      </c>
      <c r="J10" s="559">
        <v>3046.1566874470004</v>
      </c>
      <c r="K10" s="559">
        <v>204.66359045500002</v>
      </c>
      <c r="L10" s="559">
        <v>3806.9407668829999</v>
      </c>
      <c r="M10" s="559">
        <v>1.4088847410000001</v>
      </c>
      <c r="N10" s="559">
        <v>178.34404229900002</v>
      </c>
      <c r="O10" s="559">
        <v>10364.006886042</v>
      </c>
      <c r="P10" s="559">
        <v>540.57418486999995</v>
      </c>
      <c r="Q10" s="559">
        <v>2736.7067065770002</v>
      </c>
      <c r="R10" s="559">
        <v>506.556349066</v>
      </c>
      <c r="S10" s="559">
        <v>211.20321155199997</v>
      </c>
      <c r="T10" s="559">
        <v>6478.3840429919992</v>
      </c>
      <c r="U10" s="559">
        <v>116856.72088078098</v>
      </c>
      <c r="V10" s="88"/>
      <c r="W10" s="88"/>
      <c r="X10" s="88"/>
    </row>
    <row r="11" spans="1:25" s="29" customFormat="1" ht="12.2" customHeight="1">
      <c r="A11" s="577" t="s">
        <v>1263</v>
      </c>
      <c r="B11" s="558">
        <v>17943.426236539002</v>
      </c>
      <c r="C11" s="558">
        <v>16573.528397069</v>
      </c>
      <c r="D11" s="558">
        <v>6405.7376632189998</v>
      </c>
      <c r="E11" s="558">
        <v>8180.2432115789998</v>
      </c>
      <c r="F11" s="558">
        <v>13373.095621944</v>
      </c>
      <c r="G11" s="558">
        <v>17.628407153000001</v>
      </c>
      <c r="H11" s="558">
        <v>4562.3081073049998</v>
      </c>
      <c r="I11" s="558">
        <v>7107.4456062180016</v>
      </c>
      <c r="J11" s="558">
        <v>2380.5595638059999</v>
      </c>
      <c r="K11" s="558">
        <v>251.78556692700002</v>
      </c>
      <c r="L11" s="558">
        <v>3465.3919270970009</v>
      </c>
      <c r="M11" s="558">
        <v>0.15725730799999998</v>
      </c>
      <c r="N11" s="558">
        <v>181.68376342400001</v>
      </c>
      <c r="O11" s="558">
        <v>8729.7625331060008</v>
      </c>
      <c r="P11" s="558">
        <v>411.69327297199999</v>
      </c>
      <c r="Q11" s="558">
        <v>4047.0763187749994</v>
      </c>
      <c r="R11" s="558">
        <v>638.67820879400006</v>
      </c>
      <c r="S11" s="558">
        <v>150.208864742</v>
      </c>
      <c r="T11" s="558">
        <v>6678.5518861929977</v>
      </c>
      <c r="U11" s="558">
        <v>101098.96241417</v>
      </c>
      <c r="V11" s="505"/>
      <c r="W11" s="505"/>
      <c r="X11" s="505"/>
    </row>
    <row r="12" spans="1:25" s="29" customFormat="1" ht="12.2" customHeight="1">
      <c r="A12" s="580" t="s">
        <v>1392</v>
      </c>
      <c r="B12" s="559">
        <v>21303.057974675001</v>
      </c>
      <c r="C12" s="559">
        <v>19981.775415710003</v>
      </c>
      <c r="D12" s="559">
        <v>9090.1559443150018</v>
      </c>
      <c r="E12" s="559">
        <v>9868.4859093200012</v>
      </c>
      <c r="F12" s="559">
        <v>16410.639824310001</v>
      </c>
      <c r="G12" s="559">
        <v>19.443675874999997</v>
      </c>
      <c r="H12" s="559">
        <v>6950.4103529849999</v>
      </c>
      <c r="I12" s="559">
        <v>7874.3254532150004</v>
      </c>
      <c r="J12" s="559">
        <v>2715.2346651450002</v>
      </c>
      <c r="K12" s="559">
        <v>330.55203132999998</v>
      </c>
      <c r="L12" s="559">
        <v>4451.4895316450002</v>
      </c>
      <c r="M12" s="559">
        <v>0.3327156</v>
      </c>
      <c r="N12" s="559">
        <v>258.69044694500002</v>
      </c>
      <c r="O12" s="559">
        <v>9103.3843674349991</v>
      </c>
      <c r="P12" s="559">
        <v>464.68689706499993</v>
      </c>
      <c r="Q12" s="559">
        <v>5434.0171208399997</v>
      </c>
      <c r="R12" s="559">
        <v>791.06830617999992</v>
      </c>
      <c r="S12" s="559">
        <v>174.71432794999998</v>
      </c>
      <c r="T12" s="559">
        <v>7933.5399799049983</v>
      </c>
      <c r="U12" s="559">
        <v>123156.00494044498</v>
      </c>
      <c r="V12" s="505"/>
      <c r="W12" s="505"/>
      <c r="X12" s="505"/>
    </row>
    <row r="13" spans="1:25" s="29" customFormat="1" ht="12.2" customHeight="1">
      <c r="A13" s="577" t="s">
        <v>1511</v>
      </c>
      <c r="B13" s="558">
        <v>26143.3635736</v>
      </c>
      <c r="C13" s="558">
        <v>21351.112195200003</v>
      </c>
      <c r="D13" s="558">
        <v>9882.1187704000004</v>
      </c>
      <c r="E13" s="558">
        <v>12301.017555900002</v>
      </c>
      <c r="F13" s="558">
        <v>15488.6576974</v>
      </c>
      <c r="G13" s="558">
        <v>65.783767699999999</v>
      </c>
      <c r="H13" s="558">
        <v>8605.6801902999996</v>
      </c>
      <c r="I13" s="558">
        <v>8960.9986872000009</v>
      </c>
      <c r="J13" s="558">
        <v>3096.0592743000002</v>
      </c>
      <c r="K13" s="558">
        <v>509.60950109999999</v>
      </c>
      <c r="L13" s="558">
        <v>3950.0114481000001</v>
      </c>
      <c r="M13" s="558">
        <v>0</v>
      </c>
      <c r="N13" s="558">
        <v>416.43734380000012</v>
      </c>
      <c r="O13" s="558">
        <v>10065.4388858</v>
      </c>
      <c r="P13" s="558">
        <v>480.4309207</v>
      </c>
      <c r="Q13" s="558">
        <v>6368.1924249999993</v>
      </c>
      <c r="R13" s="558">
        <v>945.79052019999995</v>
      </c>
      <c r="S13" s="558">
        <v>168.7680048</v>
      </c>
      <c r="T13" s="558">
        <v>9207.1009232000051</v>
      </c>
      <c r="U13" s="558">
        <v>138006.57168470003</v>
      </c>
      <c r="V13" s="505"/>
      <c r="W13" s="505"/>
      <c r="X13" s="505"/>
    </row>
    <row r="14" spans="1:25" s="824" customFormat="1" ht="12.2" customHeight="1">
      <c r="A14" s="580" t="s">
        <v>1602</v>
      </c>
      <c r="B14" s="559">
        <v>34046.098481299996</v>
      </c>
      <c r="C14" s="559">
        <v>20962.529843</v>
      </c>
      <c r="D14" s="559">
        <v>11571.721058799998</v>
      </c>
      <c r="E14" s="559">
        <v>11633.0822479</v>
      </c>
      <c r="F14" s="559">
        <v>20382.712716000005</v>
      </c>
      <c r="G14" s="559">
        <v>34.065723600000005</v>
      </c>
      <c r="H14" s="559">
        <v>8643.3577769000003</v>
      </c>
      <c r="I14" s="559">
        <v>10517.8744919</v>
      </c>
      <c r="J14" s="559">
        <v>3878.3621465999995</v>
      </c>
      <c r="K14" s="559">
        <v>447.22381150000001</v>
      </c>
      <c r="L14" s="559">
        <v>3706.6695920999996</v>
      </c>
      <c r="M14" s="559">
        <v>8.4499999999999992E-2</v>
      </c>
      <c r="N14" s="559">
        <v>418.39038869999996</v>
      </c>
      <c r="O14" s="559">
        <v>10439.316572900001</v>
      </c>
      <c r="P14" s="559">
        <v>519.89813179999999</v>
      </c>
      <c r="Q14" s="559">
        <v>5926.4297523000005</v>
      </c>
      <c r="R14" s="559">
        <v>1507.8597989999998</v>
      </c>
      <c r="S14" s="559">
        <v>144.8888565</v>
      </c>
      <c r="T14" s="559">
        <v>9572.4952561000027</v>
      </c>
      <c r="U14" s="559">
        <v>154353.06114690003</v>
      </c>
      <c r="V14" s="30"/>
      <c r="W14" s="30"/>
      <c r="X14" s="30"/>
    </row>
    <row r="15" spans="1:25" s="824" customFormat="1" ht="12.2" customHeight="1">
      <c r="A15" s="582" t="s">
        <v>1668</v>
      </c>
      <c r="B15" s="578">
        <v>48521.200303699996</v>
      </c>
      <c r="C15" s="578">
        <v>20692.835907599998</v>
      </c>
      <c r="D15" s="578">
        <v>17161.472797799997</v>
      </c>
      <c r="E15" s="578">
        <v>15998.640572499999</v>
      </c>
      <c r="F15" s="578">
        <v>29357.019671900005</v>
      </c>
      <c r="G15" s="578">
        <v>59.023163700000005</v>
      </c>
      <c r="H15" s="578">
        <v>12298.410095000001</v>
      </c>
      <c r="I15" s="578">
        <v>13023.291548699999</v>
      </c>
      <c r="J15" s="578">
        <v>5299.2566540000007</v>
      </c>
      <c r="K15" s="578">
        <v>567.26565100000005</v>
      </c>
      <c r="L15" s="578">
        <v>4899.6029505999995</v>
      </c>
      <c r="M15" s="578">
        <v>8.4802499999999989E-2</v>
      </c>
      <c r="N15" s="578">
        <v>674.5472201</v>
      </c>
      <c r="O15" s="578">
        <v>16981.377058799997</v>
      </c>
      <c r="P15" s="578">
        <v>1202.2905979</v>
      </c>
      <c r="Q15" s="578">
        <v>6877.0052047999989</v>
      </c>
      <c r="R15" s="578">
        <v>1773.7958544999999</v>
      </c>
      <c r="S15" s="578">
        <v>181.14529060000001</v>
      </c>
      <c r="T15" s="578">
        <v>14562.336121399996</v>
      </c>
      <c r="U15" s="578">
        <v>210130.6014671</v>
      </c>
      <c r="V15" s="30"/>
      <c r="W15" s="30"/>
      <c r="X15" s="30"/>
    </row>
    <row r="16" spans="1:25" s="824" customFormat="1" ht="12.2" customHeight="1">
      <c r="A16" s="581" t="s">
        <v>2018</v>
      </c>
      <c r="B16" s="567">
        <f t="shared" ref="B16:U16" si="1">SUM(B17:B28)</f>
        <v>39158.175854299996</v>
      </c>
      <c r="C16" s="567">
        <f t="shared" si="1"/>
        <v>17947.8753072</v>
      </c>
      <c r="D16" s="567">
        <f t="shared" si="1"/>
        <v>17614.919640699998</v>
      </c>
      <c r="E16" s="567">
        <f t="shared" si="1"/>
        <v>14591.768105700001</v>
      </c>
      <c r="F16" s="567">
        <f t="shared" si="1"/>
        <v>29681.0637967</v>
      </c>
      <c r="G16" s="567">
        <f t="shared" si="1"/>
        <v>20.136485900000004</v>
      </c>
      <c r="H16" s="567">
        <f t="shared" si="1"/>
        <v>11619.2514574</v>
      </c>
      <c r="I16" s="567">
        <f t="shared" si="1"/>
        <v>7728.6748983999996</v>
      </c>
      <c r="J16" s="567">
        <f t="shared" si="1"/>
        <v>3321.2278345</v>
      </c>
      <c r="K16" s="567">
        <f t="shared" si="1"/>
        <v>722.60180549999995</v>
      </c>
      <c r="L16" s="567">
        <f t="shared" si="1"/>
        <v>4890.2717383000008</v>
      </c>
      <c r="M16" s="567">
        <f t="shared" si="1"/>
        <v>0.93426680000000006</v>
      </c>
      <c r="N16" s="567">
        <f t="shared" si="1"/>
        <v>598.07390220000013</v>
      </c>
      <c r="O16" s="567">
        <f t="shared" si="1"/>
        <v>8813.7038080000002</v>
      </c>
      <c r="P16" s="567">
        <f t="shared" si="1"/>
        <v>1110.0690999000001</v>
      </c>
      <c r="Q16" s="567">
        <f t="shared" si="1"/>
        <v>9111.6374758999991</v>
      </c>
      <c r="R16" s="567">
        <f t="shared" si="1"/>
        <v>1171.3974736</v>
      </c>
      <c r="S16" s="567">
        <f t="shared" si="1"/>
        <v>178.02595140000003</v>
      </c>
      <c r="T16" s="567">
        <f t="shared" si="1"/>
        <v>13300.732195100001</v>
      </c>
      <c r="U16" s="567">
        <f t="shared" si="1"/>
        <v>181580.54109750001</v>
      </c>
      <c r="V16" s="30"/>
      <c r="W16" s="30"/>
      <c r="X16" s="30"/>
    </row>
    <row r="17" spans="1:24" s="824" customFormat="1" ht="12.2" customHeight="1">
      <c r="A17" s="577" t="s">
        <v>576</v>
      </c>
      <c r="B17" s="818">
        <v>3921.1534806000004</v>
      </c>
      <c r="C17" s="818">
        <v>1349.9052966000002</v>
      </c>
      <c r="D17" s="818">
        <v>1351.6013705999999</v>
      </c>
      <c r="E17" s="818">
        <v>1262.2182708000003</v>
      </c>
      <c r="F17" s="818">
        <v>2395.1957028000002</v>
      </c>
      <c r="G17" s="818">
        <v>1.9504851000000003</v>
      </c>
      <c r="H17" s="818">
        <v>1021.6301739</v>
      </c>
      <c r="I17" s="818">
        <v>933.0103074000001</v>
      </c>
      <c r="J17" s="818">
        <v>321.15161189999998</v>
      </c>
      <c r="K17" s="818">
        <v>45.624390600000005</v>
      </c>
      <c r="L17" s="818">
        <v>392.30191619999999</v>
      </c>
      <c r="M17" s="818">
        <v>0.84803700000000004</v>
      </c>
      <c r="N17" s="818">
        <v>51.306238500000006</v>
      </c>
      <c r="O17" s="818">
        <v>939.37058490000004</v>
      </c>
      <c r="P17" s="818">
        <v>84.125270400000005</v>
      </c>
      <c r="Q17" s="818">
        <v>654.85417140000004</v>
      </c>
      <c r="R17" s="818">
        <v>60.719449200000007</v>
      </c>
      <c r="S17" s="818">
        <v>15.519077100000001</v>
      </c>
      <c r="T17" s="818">
        <v>1068.4418163000003</v>
      </c>
      <c r="U17" s="818">
        <f t="shared" ref="U17:U28" si="2">SUM(B17:T17)</f>
        <v>15870.9276513</v>
      </c>
      <c r="V17" s="30"/>
      <c r="W17" s="30"/>
      <c r="X17" s="30"/>
    </row>
    <row r="18" spans="1:24" s="824" customFormat="1" ht="12.2" customHeight="1">
      <c r="A18" s="580" t="s">
        <v>577</v>
      </c>
      <c r="B18" s="838">
        <v>3672.3180243999996</v>
      </c>
      <c r="C18" s="838">
        <v>1319.8189328000001</v>
      </c>
      <c r="D18" s="838">
        <v>1239.0292955</v>
      </c>
      <c r="E18" s="838">
        <v>1296.6269548999999</v>
      </c>
      <c r="F18" s="838">
        <v>2357.5962295999998</v>
      </c>
      <c r="G18" s="838">
        <v>2.6335213</v>
      </c>
      <c r="H18" s="838">
        <v>1071.1635506999999</v>
      </c>
      <c r="I18" s="838">
        <v>848.07881089999989</v>
      </c>
      <c r="J18" s="838">
        <v>320.270171</v>
      </c>
      <c r="K18" s="838">
        <v>58.532134699999993</v>
      </c>
      <c r="L18" s="838">
        <v>388.3169633</v>
      </c>
      <c r="M18" s="838">
        <v>0</v>
      </c>
      <c r="N18" s="838">
        <v>52.330616799999994</v>
      </c>
      <c r="O18" s="838">
        <v>817.58093519999989</v>
      </c>
      <c r="P18" s="838">
        <v>66.262794</v>
      </c>
      <c r="Q18" s="838">
        <v>772.30135929999983</v>
      </c>
      <c r="R18" s="838">
        <v>79.345448199999993</v>
      </c>
      <c r="S18" s="838">
        <v>14.866652499999997</v>
      </c>
      <c r="T18" s="838">
        <v>1000.1434279000001</v>
      </c>
      <c r="U18" s="838">
        <f t="shared" si="2"/>
        <v>15377.215823</v>
      </c>
      <c r="V18" s="30"/>
      <c r="W18" s="30"/>
      <c r="X18" s="30"/>
    </row>
    <row r="19" spans="1:24" s="824" customFormat="1" ht="12.2" customHeight="1">
      <c r="A19" s="577" t="s">
        <v>571</v>
      </c>
      <c r="B19" s="818">
        <v>3491.0879889000003</v>
      </c>
      <c r="C19" s="818">
        <v>1123.3686312</v>
      </c>
      <c r="D19" s="818">
        <v>1251.4271986000001</v>
      </c>
      <c r="E19" s="818">
        <v>1198.5668046000003</v>
      </c>
      <c r="F19" s="818">
        <v>2542.5849514000006</v>
      </c>
      <c r="G19" s="818">
        <v>2.0462088</v>
      </c>
      <c r="H19" s="818">
        <v>935.79949120000003</v>
      </c>
      <c r="I19" s="818">
        <v>696.47832029999995</v>
      </c>
      <c r="J19" s="818">
        <v>307.44287220000007</v>
      </c>
      <c r="K19" s="818">
        <v>56.952811599999997</v>
      </c>
      <c r="L19" s="818">
        <v>370.96060369999998</v>
      </c>
      <c r="M19" s="818">
        <v>0</v>
      </c>
      <c r="N19" s="818">
        <v>50.558409099999999</v>
      </c>
      <c r="O19" s="818">
        <v>714.89419950000001</v>
      </c>
      <c r="P19" s="818">
        <v>85.599734799999993</v>
      </c>
      <c r="Q19" s="818">
        <v>767.07252390000008</v>
      </c>
      <c r="R19" s="818">
        <v>76.477053900000016</v>
      </c>
      <c r="S19" s="818">
        <v>13.129839800000003</v>
      </c>
      <c r="T19" s="818">
        <v>1037.2573442000007</v>
      </c>
      <c r="U19" s="818">
        <f t="shared" si="2"/>
        <v>14721.704987700003</v>
      </c>
      <c r="V19" s="30"/>
      <c r="W19" s="30"/>
      <c r="X19" s="30"/>
    </row>
    <row r="20" spans="1:24" s="824" customFormat="1" ht="12.2" customHeight="1">
      <c r="A20" s="580" t="s">
        <v>578</v>
      </c>
      <c r="B20" s="838">
        <v>3387.4995728000004</v>
      </c>
      <c r="C20" s="838">
        <v>1049.0906734</v>
      </c>
      <c r="D20" s="838">
        <v>1227.1638414000001</v>
      </c>
      <c r="E20" s="838">
        <v>1122.8026915</v>
      </c>
      <c r="F20" s="838">
        <v>2516.3108431999999</v>
      </c>
      <c r="G20" s="838">
        <v>2.0546903999999997</v>
      </c>
      <c r="H20" s="838">
        <v>915.27896110000006</v>
      </c>
      <c r="I20" s="838">
        <v>556.56426209999995</v>
      </c>
      <c r="J20" s="838">
        <v>274.55800469999997</v>
      </c>
      <c r="K20" s="838">
        <v>45.374412999999997</v>
      </c>
      <c r="L20" s="838">
        <v>347.49951390000001</v>
      </c>
      <c r="M20" s="838">
        <v>0</v>
      </c>
      <c r="N20" s="838">
        <v>43.319722599999992</v>
      </c>
      <c r="O20" s="838">
        <v>702.10483210000007</v>
      </c>
      <c r="P20" s="838">
        <v>96.827285100000012</v>
      </c>
      <c r="Q20" s="838">
        <v>718.79919159999986</v>
      </c>
      <c r="R20" s="838">
        <v>80.132925599999993</v>
      </c>
      <c r="S20" s="838">
        <v>14.725281200000001</v>
      </c>
      <c r="T20" s="838">
        <v>999.09320700000137</v>
      </c>
      <c r="U20" s="838">
        <f t="shared" si="2"/>
        <v>14099.199912700004</v>
      </c>
      <c r="V20" s="30"/>
      <c r="W20" s="30"/>
      <c r="X20" s="30"/>
    </row>
    <row r="21" spans="1:24" s="824" customFormat="1" ht="12.2" customHeight="1">
      <c r="A21" s="577" t="s">
        <v>579</v>
      </c>
      <c r="B21" s="818">
        <v>3132.7603250000002</v>
      </c>
      <c r="C21" s="818">
        <v>1080.25035</v>
      </c>
      <c r="D21" s="818">
        <v>1189.1846</v>
      </c>
      <c r="E21" s="818">
        <v>1088.8278500000001</v>
      </c>
      <c r="F21" s="818">
        <v>2330.420975</v>
      </c>
      <c r="G21" s="818">
        <v>1.2008500000000002</v>
      </c>
      <c r="H21" s="818">
        <v>906.89907500000004</v>
      </c>
      <c r="I21" s="818">
        <v>536.43685000000005</v>
      </c>
      <c r="J21" s="818">
        <v>228.50460000000004</v>
      </c>
      <c r="K21" s="818">
        <v>45.117650000000005</v>
      </c>
      <c r="L21" s="818">
        <v>377.15267499999999</v>
      </c>
      <c r="M21" s="818">
        <v>0</v>
      </c>
      <c r="N21" s="818">
        <v>41.086224999999999</v>
      </c>
      <c r="O21" s="818">
        <v>618.09465000000012</v>
      </c>
      <c r="P21" s="818">
        <v>77.197500000000005</v>
      </c>
      <c r="Q21" s="818">
        <v>631.81864999999993</v>
      </c>
      <c r="R21" s="818">
        <v>77.111725000000007</v>
      </c>
      <c r="S21" s="818">
        <v>11.064975</v>
      </c>
      <c r="T21" s="818">
        <v>953.73222499999952</v>
      </c>
      <c r="U21" s="818">
        <f t="shared" si="2"/>
        <v>13326.861749999998</v>
      </c>
      <c r="V21" s="30"/>
      <c r="W21" s="30"/>
      <c r="X21" s="30"/>
    </row>
    <row r="22" spans="1:24" s="824" customFormat="1" ht="12.2" customHeight="1">
      <c r="A22" s="580" t="s">
        <v>572</v>
      </c>
      <c r="B22" s="838">
        <v>3174.9432000000002</v>
      </c>
      <c r="C22" s="838">
        <v>1033.8042</v>
      </c>
      <c r="D22" s="838">
        <v>1256.4551999999999</v>
      </c>
      <c r="E22" s="838">
        <v>1201.3715999999999</v>
      </c>
      <c r="F22" s="838">
        <v>2302.7861999999996</v>
      </c>
      <c r="G22" s="838">
        <v>1.4586000000000001</v>
      </c>
      <c r="H22" s="838">
        <v>993.99299999999982</v>
      </c>
      <c r="I22" s="838">
        <v>527.32680000000005</v>
      </c>
      <c r="J22" s="838">
        <v>261.34679999999997</v>
      </c>
      <c r="K22" s="838">
        <v>54.397199999999998</v>
      </c>
      <c r="L22" s="838">
        <v>400.34279999999995</v>
      </c>
      <c r="M22" s="838">
        <v>0</v>
      </c>
      <c r="N22" s="838">
        <v>54.740400000000001</v>
      </c>
      <c r="O22" s="838">
        <v>656.79899999999998</v>
      </c>
      <c r="P22" s="838">
        <v>85.370999999999995</v>
      </c>
      <c r="Q22" s="838">
        <v>777.09059999999988</v>
      </c>
      <c r="R22" s="838">
        <v>102.7884</v>
      </c>
      <c r="S22" s="838">
        <v>14.585999999999999</v>
      </c>
      <c r="T22" s="838">
        <v>1091.4617999999998</v>
      </c>
      <c r="U22" s="838">
        <f t="shared" si="2"/>
        <v>13991.0628</v>
      </c>
      <c r="V22" s="30"/>
      <c r="W22" s="30"/>
      <c r="X22" s="30"/>
    </row>
    <row r="23" spans="1:24" s="824" customFormat="1" ht="12.2" customHeight="1">
      <c r="A23" s="577" t="s">
        <v>580</v>
      </c>
      <c r="B23" s="818">
        <v>3078.4353469999996</v>
      </c>
      <c r="C23" s="818">
        <v>1193.8982820000001</v>
      </c>
      <c r="D23" s="818">
        <v>1665.0970136000001</v>
      </c>
      <c r="E23" s="818">
        <v>1128.4014864000001</v>
      </c>
      <c r="F23" s="818">
        <v>2402.3227562000002</v>
      </c>
      <c r="G23" s="818">
        <v>1.9769374000000002</v>
      </c>
      <c r="H23" s="818">
        <v>960.70562260000008</v>
      </c>
      <c r="I23" s="818">
        <v>593.94075799999996</v>
      </c>
      <c r="J23" s="818">
        <v>283.81944759999999</v>
      </c>
      <c r="K23" s="818">
        <v>63.605812</v>
      </c>
      <c r="L23" s="818">
        <v>407.67887340000004</v>
      </c>
      <c r="M23" s="818">
        <v>0</v>
      </c>
      <c r="N23" s="818">
        <v>49.509388799999996</v>
      </c>
      <c r="O23" s="818">
        <v>681.52768020000008</v>
      </c>
      <c r="P23" s="818">
        <v>93.517734400000009</v>
      </c>
      <c r="Q23" s="818">
        <v>774.18587659999992</v>
      </c>
      <c r="R23" s="818">
        <v>100.99571499999999</v>
      </c>
      <c r="S23" s="818">
        <v>15.127868800000002</v>
      </c>
      <c r="T23" s="818">
        <v>1156.3364713999999</v>
      </c>
      <c r="U23" s="818">
        <f t="shared" si="2"/>
        <v>14651.083071400004</v>
      </c>
      <c r="V23" s="30"/>
      <c r="W23" s="30"/>
      <c r="X23" s="30"/>
    </row>
    <row r="24" spans="1:24" s="824" customFormat="1" ht="12.2" customHeight="1">
      <c r="A24" s="580" t="s">
        <v>581</v>
      </c>
      <c r="B24" s="838">
        <v>2713.4719999999998</v>
      </c>
      <c r="C24" s="838">
        <v>1102.1759999999999</v>
      </c>
      <c r="D24" s="838">
        <v>1419.43</v>
      </c>
      <c r="E24" s="838">
        <v>1036.9019999999998</v>
      </c>
      <c r="F24" s="838">
        <v>2027.5360000000001</v>
      </c>
      <c r="G24" s="838">
        <v>1.4620000000000002</v>
      </c>
      <c r="H24" s="838">
        <v>841.59599999999989</v>
      </c>
      <c r="I24" s="838">
        <v>498.45600000000002</v>
      </c>
      <c r="J24" s="838">
        <v>246.73400000000001</v>
      </c>
      <c r="K24" s="838">
        <v>56.158000000000001</v>
      </c>
      <c r="L24" s="838">
        <v>420.11</v>
      </c>
      <c r="M24" s="838">
        <v>0</v>
      </c>
      <c r="N24" s="838">
        <v>44.72</v>
      </c>
      <c r="O24" s="838">
        <v>645.43000000000006</v>
      </c>
      <c r="P24" s="838">
        <v>77.056000000000012</v>
      </c>
      <c r="Q24" s="838">
        <v>579.72599999999989</v>
      </c>
      <c r="R24" s="838">
        <v>98.556000000000012</v>
      </c>
      <c r="S24" s="838">
        <v>10.061999999999999</v>
      </c>
      <c r="T24" s="838">
        <v>1032.8600000000001</v>
      </c>
      <c r="U24" s="838">
        <f t="shared" si="2"/>
        <v>12852.442000000001</v>
      </c>
      <c r="V24" s="30"/>
      <c r="W24" s="30"/>
      <c r="X24" s="30"/>
    </row>
    <row r="25" spans="1:24" s="824" customFormat="1" ht="12.2" customHeight="1">
      <c r="A25" s="577" t="s">
        <v>573</v>
      </c>
      <c r="B25" s="818">
        <v>3248.9106935999998</v>
      </c>
      <c r="C25" s="818">
        <v>1584.6959501999997</v>
      </c>
      <c r="D25" s="818">
        <v>1843.9926210999997</v>
      </c>
      <c r="E25" s="818">
        <v>1243.3847664</v>
      </c>
      <c r="F25" s="818">
        <v>2653.3803375999996</v>
      </c>
      <c r="G25" s="818">
        <v>1.2048302</v>
      </c>
      <c r="H25" s="818">
        <v>1029.4413466000001</v>
      </c>
      <c r="I25" s="818">
        <v>639.42059899999992</v>
      </c>
      <c r="J25" s="818">
        <v>256.19853609999996</v>
      </c>
      <c r="K25" s="818">
        <v>69.535914399999996</v>
      </c>
      <c r="L25" s="818">
        <v>494.66885639999992</v>
      </c>
      <c r="M25" s="818">
        <v>0</v>
      </c>
      <c r="N25" s="818">
        <v>51.549520699999995</v>
      </c>
      <c r="O25" s="818">
        <v>700.78087990000006</v>
      </c>
      <c r="P25" s="818">
        <v>117.38488519999999</v>
      </c>
      <c r="Q25" s="818">
        <v>739.07726839999987</v>
      </c>
      <c r="R25" s="818">
        <v>112.0492086</v>
      </c>
      <c r="S25" s="818">
        <v>14.716140299999998</v>
      </c>
      <c r="T25" s="818">
        <v>1204.3138442000004</v>
      </c>
      <c r="U25" s="818">
        <f t="shared" si="2"/>
        <v>16004.706198899998</v>
      </c>
      <c r="V25" s="30"/>
      <c r="W25" s="30"/>
      <c r="X25" s="30"/>
    </row>
    <row r="26" spans="1:24" s="824" customFormat="1" ht="12.2" customHeight="1">
      <c r="A26" s="580" t="s">
        <v>582</v>
      </c>
      <c r="B26" s="838">
        <v>3242.8440885999998</v>
      </c>
      <c r="C26" s="838">
        <v>2037.0927952000002</v>
      </c>
      <c r="D26" s="838">
        <v>2060.6335306000001</v>
      </c>
      <c r="E26" s="838">
        <v>1278.8741637999999</v>
      </c>
      <c r="F26" s="838">
        <v>3062.6238066000001</v>
      </c>
      <c r="G26" s="838">
        <v>1.5521363999999997</v>
      </c>
      <c r="H26" s="838">
        <v>974.05182079999997</v>
      </c>
      <c r="I26" s="838">
        <v>641.89463120000005</v>
      </c>
      <c r="J26" s="838">
        <v>298.18264839999995</v>
      </c>
      <c r="K26" s="838">
        <v>76.2271432</v>
      </c>
      <c r="L26" s="838">
        <v>425.02668419999998</v>
      </c>
      <c r="M26" s="838">
        <v>8.6229799999999995E-2</v>
      </c>
      <c r="N26" s="838">
        <v>42.0801424</v>
      </c>
      <c r="O26" s="838">
        <v>798.6604076000001</v>
      </c>
      <c r="P26" s="838">
        <v>144.17622559999998</v>
      </c>
      <c r="Q26" s="838">
        <v>848.67369159999998</v>
      </c>
      <c r="R26" s="838">
        <v>105.20035599999999</v>
      </c>
      <c r="S26" s="838">
        <v>15.435134199999998</v>
      </c>
      <c r="T26" s="838">
        <v>1285.8587775999999</v>
      </c>
      <c r="U26" s="838">
        <f t="shared" si="2"/>
        <v>17339.174413799999</v>
      </c>
      <c r="V26" s="30"/>
      <c r="W26" s="30"/>
      <c r="X26" s="30"/>
    </row>
    <row r="27" spans="1:24" s="824" customFormat="1" ht="12.2" customHeight="1">
      <c r="A27" s="577" t="s">
        <v>583</v>
      </c>
      <c r="B27" s="818">
        <v>2876.9419172999997</v>
      </c>
      <c r="C27" s="818">
        <v>2952.006222</v>
      </c>
      <c r="D27" s="818">
        <v>1451.2432242</v>
      </c>
      <c r="E27" s="818">
        <v>1281.7600554000001</v>
      </c>
      <c r="F27" s="818">
        <v>2382.0929120999999</v>
      </c>
      <c r="G27" s="818">
        <v>1.3077405</v>
      </c>
      <c r="H27" s="818">
        <v>916.55172509999989</v>
      </c>
      <c r="I27" s="818">
        <v>738.17592089999994</v>
      </c>
      <c r="J27" s="818">
        <v>256.57868610000003</v>
      </c>
      <c r="K27" s="818">
        <v>63.643371000000002</v>
      </c>
      <c r="L27" s="818">
        <v>453.43722270000001</v>
      </c>
      <c r="M27" s="818">
        <v>0</v>
      </c>
      <c r="N27" s="818">
        <v>64.689563399999997</v>
      </c>
      <c r="O27" s="818">
        <v>796.93706069999996</v>
      </c>
      <c r="P27" s="818">
        <v>80.208083999999999</v>
      </c>
      <c r="Q27" s="818">
        <v>881.7658277999999</v>
      </c>
      <c r="R27" s="818">
        <v>168.96007259999999</v>
      </c>
      <c r="S27" s="818">
        <v>22.3187712</v>
      </c>
      <c r="T27" s="818">
        <v>1048.2847847999981</v>
      </c>
      <c r="U27" s="818">
        <f t="shared" si="2"/>
        <v>16436.903161799997</v>
      </c>
      <c r="V27" s="30"/>
      <c r="W27" s="30"/>
      <c r="X27" s="30"/>
    </row>
    <row r="28" spans="1:24" s="824" customFormat="1" ht="12.2" customHeight="1">
      <c r="A28" s="580" t="s">
        <v>574</v>
      </c>
      <c r="B28" s="838">
        <v>3217.8092161</v>
      </c>
      <c r="C28" s="838">
        <v>2121.7679737999997</v>
      </c>
      <c r="D28" s="838">
        <v>1659.6617451000002</v>
      </c>
      <c r="E28" s="838">
        <v>1452.0314619000001</v>
      </c>
      <c r="F28" s="838">
        <v>2708.2130821999999</v>
      </c>
      <c r="G28" s="838">
        <v>1.2884858000000001</v>
      </c>
      <c r="H28" s="838">
        <v>1052.1406904</v>
      </c>
      <c r="I28" s="838">
        <v>518.89163859999996</v>
      </c>
      <c r="J28" s="838">
        <v>266.44045649999998</v>
      </c>
      <c r="K28" s="838">
        <v>87.432964999999996</v>
      </c>
      <c r="L28" s="838">
        <v>412.77562950000004</v>
      </c>
      <c r="M28" s="838">
        <v>0</v>
      </c>
      <c r="N28" s="838">
        <v>52.183674900000007</v>
      </c>
      <c r="O28" s="838">
        <v>741.52357789999996</v>
      </c>
      <c r="P28" s="838">
        <v>102.34258639999999</v>
      </c>
      <c r="Q28" s="838">
        <v>966.27231529999995</v>
      </c>
      <c r="R28" s="838">
        <v>109.06111949999999</v>
      </c>
      <c r="S28" s="838">
        <v>16.4742113</v>
      </c>
      <c r="T28" s="838">
        <v>1422.9484967000003</v>
      </c>
      <c r="U28" s="838">
        <f t="shared" si="2"/>
        <v>16909.259326899999</v>
      </c>
      <c r="V28" s="30"/>
      <c r="W28" s="30"/>
      <c r="X28" s="30"/>
    </row>
    <row r="29" spans="1:24" s="824" customFormat="1" ht="12.2" customHeight="1">
      <c r="A29" s="582" t="s">
        <v>2299</v>
      </c>
      <c r="B29" s="578">
        <f>SUM(B30:B41)</f>
        <v>37457.374522400001</v>
      </c>
      <c r="C29" s="578">
        <f t="shared" ref="C29:T29" si="3">SUM(C30:C41)</f>
        <v>30263.662829199999</v>
      </c>
      <c r="D29" s="578">
        <f t="shared" si="3"/>
        <v>20784.396020799999</v>
      </c>
      <c r="E29" s="578">
        <f t="shared" si="3"/>
        <v>15455.397383300002</v>
      </c>
      <c r="F29" s="578">
        <f t="shared" si="3"/>
        <v>34888.233900599997</v>
      </c>
      <c r="G29" s="578">
        <f t="shared" si="3"/>
        <v>26.302682900000001</v>
      </c>
      <c r="H29" s="578">
        <f t="shared" si="3"/>
        <v>14455.068423000001</v>
      </c>
      <c r="I29" s="578">
        <f t="shared" si="3"/>
        <v>7915.9911605999996</v>
      </c>
      <c r="J29" s="578">
        <f t="shared" si="3"/>
        <v>4237.1926812000002</v>
      </c>
      <c r="K29" s="578">
        <f t="shared" si="3"/>
        <v>1125.2817604000002</v>
      </c>
      <c r="L29" s="578">
        <f t="shared" si="3"/>
        <v>5276.4684546000008</v>
      </c>
      <c r="M29" s="578">
        <f t="shared" si="3"/>
        <v>0.49717749999999999</v>
      </c>
      <c r="N29" s="578">
        <f t="shared" si="3"/>
        <v>1123.2660660000001</v>
      </c>
      <c r="O29" s="578">
        <f t="shared" si="3"/>
        <v>11195.259369900001</v>
      </c>
      <c r="P29" s="578">
        <f t="shared" si="3"/>
        <v>1294.5214367999999</v>
      </c>
      <c r="Q29" s="578">
        <f t="shared" si="3"/>
        <v>11772.177798499997</v>
      </c>
      <c r="R29" s="578">
        <f t="shared" si="3"/>
        <v>1164.7566234000001</v>
      </c>
      <c r="S29" s="578">
        <f t="shared" si="3"/>
        <v>187.69469090000001</v>
      </c>
      <c r="T29" s="578">
        <f t="shared" si="3"/>
        <v>16450.068571699998</v>
      </c>
      <c r="U29" s="578">
        <f>SUM(B29:T29)</f>
        <v>215073.61155369994</v>
      </c>
      <c r="V29" s="30"/>
      <c r="W29" s="30"/>
      <c r="X29" s="30"/>
    </row>
    <row r="30" spans="1:24" s="824" customFormat="1" ht="12.2" customHeight="1">
      <c r="A30" s="580" t="s">
        <v>576</v>
      </c>
      <c r="B30" s="838">
        <v>3282.6755571999993</v>
      </c>
      <c r="C30" s="838">
        <v>2862.2482277999998</v>
      </c>
      <c r="D30" s="838">
        <v>1856.9030193999999</v>
      </c>
      <c r="E30" s="838">
        <v>1331.9791251000001</v>
      </c>
      <c r="F30" s="838">
        <v>3411.3011581999999</v>
      </c>
      <c r="G30" s="838">
        <v>1.1266475999999999</v>
      </c>
      <c r="H30" s="838">
        <v>1003.5613497000001</v>
      </c>
      <c r="I30" s="838">
        <v>734.57423519999998</v>
      </c>
      <c r="J30" s="838">
        <v>299.68826159999998</v>
      </c>
      <c r="K30" s="838">
        <v>86.939639799999995</v>
      </c>
      <c r="L30" s="838">
        <v>417.79848499999997</v>
      </c>
      <c r="M30" s="838">
        <v>9.3887299999999993E-2</v>
      </c>
      <c r="N30" s="838">
        <v>115.38749169999998</v>
      </c>
      <c r="O30" s="838">
        <v>1308.0378636</v>
      </c>
      <c r="P30" s="838">
        <v>122.71070110000001</v>
      </c>
      <c r="Q30" s="838">
        <v>1217.3427317999999</v>
      </c>
      <c r="R30" s="838">
        <v>196.78778080000001</v>
      </c>
      <c r="S30" s="838">
        <v>15.773066399999999</v>
      </c>
      <c r="T30" s="838">
        <v>1416.8532443000008</v>
      </c>
      <c r="U30" s="838">
        <f t="shared" ref="U30:U49" si="4">SUM(B30:T30)</f>
        <v>19681.7824736</v>
      </c>
      <c r="V30" s="30"/>
      <c r="W30" s="30"/>
      <c r="X30" s="30"/>
    </row>
    <row r="31" spans="1:24" s="824" customFormat="1" ht="12.2" customHeight="1">
      <c r="A31" s="577" t="s">
        <v>577</v>
      </c>
      <c r="B31" s="818">
        <v>3243.0192575999999</v>
      </c>
      <c r="C31" s="818">
        <v>2893.2921216000004</v>
      </c>
      <c r="D31" s="818">
        <v>1727.6615423999999</v>
      </c>
      <c r="E31" s="818">
        <v>1361.89536</v>
      </c>
      <c r="F31" s="818">
        <v>3404.5485888000003</v>
      </c>
      <c r="G31" s="818">
        <v>1.1388672</v>
      </c>
      <c r="H31" s="818">
        <v>1247.1544896</v>
      </c>
      <c r="I31" s="818">
        <v>486.29629440000008</v>
      </c>
      <c r="J31" s="818">
        <v>315.75093120000008</v>
      </c>
      <c r="K31" s="818">
        <v>77.158252800000014</v>
      </c>
      <c r="L31" s="818">
        <v>393.85824000000002</v>
      </c>
      <c r="M31" s="818">
        <v>9.4905600000000007E-2</v>
      </c>
      <c r="N31" s="818">
        <v>125.46520320000002</v>
      </c>
      <c r="O31" s="818">
        <v>1016.0593536</v>
      </c>
      <c r="P31" s="818">
        <v>139.70104320000002</v>
      </c>
      <c r="Q31" s="818">
        <v>1204.6367808</v>
      </c>
      <c r="R31" s="818">
        <v>142.54821120000003</v>
      </c>
      <c r="S31" s="818">
        <v>13.856217599999999</v>
      </c>
      <c r="T31" s="818">
        <v>1537.4707200000012</v>
      </c>
      <c r="U31" s="818">
        <f t="shared" si="4"/>
        <v>19331.6063808</v>
      </c>
      <c r="V31" s="30"/>
      <c r="W31" s="30"/>
      <c r="X31" s="30"/>
    </row>
    <row r="32" spans="1:24" s="824" customFormat="1" ht="12.2" customHeight="1">
      <c r="A32" s="580" t="s">
        <v>571</v>
      </c>
      <c r="B32" s="838">
        <v>2941.7033964000002</v>
      </c>
      <c r="C32" s="838">
        <v>1705.6831205999999</v>
      </c>
      <c r="D32" s="838">
        <v>1231.9088136</v>
      </c>
      <c r="E32" s="838">
        <v>1127.305566</v>
      </c>
      <c r="F32" s="838">
        <v>2655.2396579999995</v>
      </c>
      <c r="G32" s="838">
        <v>1.9123079999999999</v>
      </c>
      <c r="H32" s="838">
        <v>1088.1032519999999</v>
      </c>
      <c r="I32" s="838">
        <v>388.38975479999993</v>
      </c>
      <c r="J32" s="838">
        <v>237.89111519999997</v>
      </c>
      <c r="K32" s="838">
        <v>59.377163399999993</v>
      </c>
      <c r="L32" s="838">
        <v>322.51074419999998</v>
      </c>
      <c r="M32" s="838">
        <v>0</v>
      </c>
      <c r="N32" s="838">
        <v>52.301623799999994</v>
      </c>
      <c r="O32" s="838">
        <v>749.52912059999994</v>
      </c>
      <c r="P32" s="838">
        <v>92.268860999999987</v>
      </c>
      <c r="Q32" s="838">
        <v>827.64690240000004</v>
      </c>
      <c r="R32" s="838">
        <v>76.396704599999993</v>
      </c>
      <c r="S32" s="838">
        <v>11.282617199999999</v>
      </c>
      <c r="T32" s="838">
        <v>1151.4962621999973</v>
      </c>
      <c r="U32" s="838">
        <f t="shared" si="4"/>
        <v>14720.946983999998</v>
      </c>
      <c r="V32" s="30"/>
      <c r="W32" s="30"/>
      <c r="X32" s="30"/>
    </row>
    <row r="33" spans="1:24" s="824" customFormat="1" ht="12.2" customHeight="1">
      <c r="A33" s="577" t="s">
        <v>578</v>
      </c>
      <c r="B33" s="818">
        <v>2980.5850899999996</v>
      </c>
      <c r="C33" s="818">
        <v>1649.1282626</v>
      </c>
      <c r="D33" s="818">
        <v>1067.4069391999999</v>
      </c>
      <c r="E33" s="818">
        <v>1279.5743576</v>
      </c>
      <c r="F33" s="818">
        <v>2257.8052825999998</v>
      </c>
      <c r="G33" s="818">
        <v>1.5458463999999998</v>
      </c>
      <c r="H33" s="818">
        <v>1370.6826798</v>
      </c>
      <c r="I33" s="818">
        <v>480.08192259999998</v>
      </c>
      <c r="J33" s="818">
        <v>253.13234799999995</v>
      </c>
      <c r="K33" s="818">
        <v>61.640625200000002</v>
      </c>
      <c r="L33" s="818">
        <v>487.52130840000001</v>
      </c>
      <c r="M33" s="818">
        <v>9.661539999999999E-2</v>
      </c>
      <c r="N33" s="818">
        <v>45.602468799999997</v>
      </c>
      <c r="O33" s="818">
        <v>681.81487779999986</v>
      </c>
      <c r="P33" s="818">
        <v>77.968627800000007</v>
      </c>
      <c r="Q33" s="818">
        <v>842.29305719999991</v>
      </c>
      <c r="R33" s="818">
        <v>84.828321199999991</v>
      </c>
      <c r="S33" s="818">
        <v>13.332925199999996</v>
      </c>
      <c r="T33" s="818">
        <v>1104.0241757999997</v>
      </c>
      <c r="U33" s="818">
        <f t="shared" si="4"/>
        <v>14739.065731600002</v>
      </c>
      <c r="V33" s="30"/>
      <c r="W33" s="30"/>
      <c r="X33" s="30"/>
    </row>
    <row r="34" spans="1:24" s="824" customFormat="1" ht="12.2" customHeight="1">
      <c r="A34" s="580" t="s">
        <v>579</v>
      </c>
      <c r="B34" s="838">
        <v>2882.0946849999996</v>
      </c>
      <c r="C34" s="838">
        <v>1803.5421303999999</v>
      </c>
      <c r="D34" s="838">
        <v>1377.841371</v>
      </c>
      <c r="E34" s="838">
        <v>1232.7848865999999</v>
      </c>
      <c r="F34" s="838">
        <v>2976.3911613999999</v>
      </c>
      <c r="G34" s="838">
        <v>2.1475388</v>
      </c>
      <c r="H34" s="838">
        <v>1183.3914941999999</v>
      </c>
      <c r="I34" s="838">
        <v>486.51515360000002</v>
      </c>
      <c r="J34" s="838">
        <v>290.50343039999996</v>
      </c>
      <c r="K34" s="838">
        <v>68.33077999999999</v>
      </c>
      <c r="L34" s="838">
        <v>310.80743359999997</v>
      </c>
      <c r="M34" s="838">
        <v>0</v>
      </c>
      <c r="N34" s="838">
        <v>75.847165799999999</v>
      </c>
      <c r="O34" s="838">
        <v>677.06041440000001</v>
      </c>
      <c r="P34" s="838">
        <v>91.368014399999993</v>
      </c>
      <c r="Q34" s="838">
        <v>834.51405459999989</v>
      </c>
      <c r="R34" s="838">
        <v>104.54609339999999</v>
      </c>
      <c r="S34" s="838">
        <v>16.301771799999997</v>
      </c>
      <c r="T34" s="838">
        <v>1157.3281823999994</v>
      </c>
      <c r="U34" s="838">
        <f t="shared" si="4"/>
        <v>15571.315761799997</v>
      </c>
      <c r="V34" s="30"/>
      <c r="W34" s="30"/>
      <c r="X34" s="30"/>
    </row>
    <row r="35" spans="1:24" s="824" customFormat="1" ht="12.2" customHeight="1">
      <c r="A35" s="577" t="s">
        <v>572</v>
      </c>
      <c r="B35" s="818">
        <v>3028.5487217999998</v>
      </c>
      <c r="C35" s="818">
        <v>1913.3658934</v>
      </c>
      <c r="D35" s="818">
        <v>1491.1937732000001</v>
      </c>
      <c r="E35" s="818">
        <v>996.36969599999998</v>
      </c>
      <c r="F35" s="818">
        <v>4233.4838997999996</v>
      </c>
      <c r="G35" s="818">
        <v>1.8780777999999998</v>
      </c>
      <c r="H35" s="818">
        <v>830.90115719999994</v>
      </c>
      <c r="I35" s="818">
        <v>429.68443139999999</v>
      </c>
      <c r="J35" s="818">
        <v>294.95706080000002</v>
      </c>
      <c r="K35" s="818">
        <v>85.897347799999991</v>
      </c>
      <c r="L35" s="818">
        <v>181.28393079999998</v>
      </c>
      <c r="M35" s="818">
        <v>0</v>
      </c>
      <c r="N35" s="818">
        <v>102.40466319999999</v>
      </c>
      <c r="O35" s="818">
        <v>778.41382499999997</v>
      </c>
      <c r="P35" s="818">
        <v>91.333888799999997</v>
      </c>
      <c r="Q35" s="818">
        <v>940.02736200000004</v>
      </c>
      <c r="R35" s="818">
        <v>131.959677</v>
      </c>
      <c r="S35" s="818">
        <v>14.925776199999998</v>
      </c>
      <c r="T35" s="818">
        <v>1254.2594317999997</v>
      </c>
      <c r="U35" s="818">
        <f t="shared" si="4"/>
        <v>16800.888614</v>
      </c>
      <c r="V35" s="30"/>
      <c r="W35" s="30"/>
      <c r="X35" s="30"/>
    </row>
    <row r="36" spans="1:24" s="824" customFormat="1" ht="12.2" customHeight="1">
      <c r="A36" s="580" t="s">
        <v>580</v>
      </c>
      <c r="B36" s="838">
        <v>3083.7701208000008</v>
      </c>
      <c r="C36" s="838">
        <v>3471.5388306</v>
      </c>
      <c r="D36" s="838">
        <v>1991.9844438</v>
      </c>
      <c r="E36" s="838">
        <v>1429.0106034</v>
      </c>
      <c r="F36" s="838">
        <v>2983.6814430000004</v>
      </c>
      <c r="G36" s="838">
        <v>3.1964448000000005</v>
      </c>
      <c r="H36" s="838">
        <v>1207.8565788000001</v>
      </c>
      <c r="I36" s="838">
        <v>642.88496039999995</v>
      </c>
      <c r="J36" s="838">
        <v>392.06393250000002</v>
      </c>
      <c r="K36" s="838">
        <v>111.875568</v>
      </c>
      <c r="L36" s="838">
        <v>400.95404460000003</v>
      </c>
      <c r="M36" s="838">
        <v>0</v>
      </c>
      <c r="N36" s="838">
        <v>167.71346310000001</v>
      </c>
      <c r="O36" s="838">
        <v>972.41844149999997</v>
      </c>
      <c r="P36" s="838">
        <v>121.3650135</v>
      </c>
      <c r="Q36" s="838">
        <v>950.3429946</v>
      </c>
      <c r="R36" s="838">
        <v>143.93990490000002</v>
      </c>
      <c r="S36" s="838">
        <v>19.078779900000001</v>
      </c>
      <c r="T36" s="838">
        <v>1473.2613860999991</v>
      </c>
      <c r="U36" s="838">
        <f t="shared" si="4"/>
        <v>19566.936954299996</v>
      </c>
      <c r="V36" s="30"/>
      <c r="W36" s="30"/>
      <c r="X36" s="30"/>
    </row>
    <row r="37" spans="1:24" s="824" customFormat="1" ht="12.2" customHeight="1">
      <c r="A37" s="577" t="s">
        <v>581</v>
      </c>
      <c r="B37" s="818">
        <v>2641.6748778000001</v>
      </c>
      <c r="C37" s="818">
        <v>2138.8015854999999</v>
      </c>
      <c r="D37" s="818">
        <v>1390.7005824999999</v>
      </c>
      <c r="E37" s="818">
        <v>1144.8671220000001</v>
      </c>
      <c r="F37" s="818">
        <v>2341.0210603999999</v>
      </c>
      <c r="G37" s="818">
        <v>2.4229992</v>
      </c>
      <c r="H37" s="818">
        <v>1297.4151132999998</v>
      </c>
      <c r="I37" s="818">
        <v>617.05712959999994</v>
      </c>
      <c r="J37" s="818">
        <v>373.94954319999999</v>
      </c>
      <c r="K37" s="818">
        <v>86.319346500000009</v>
      </c>
      <c r="L37" s="818">
        <v>591.61563799999999</v>
      </c>
      <c r="M37" s="818">
        <v>0</v>
      </c>
      <c r="N37" s="818">
        <v>59.161563799999996</v>
      </c>
      <c r="O37" s="818">
        <v>923.46557009999992</v>
      </c>
      <c r="P37" s="818">
        <v>119.2317523</v>
      </c>
      <c r="Q37" s="818">
        <v>851.68421879999983</v>
      </c>
      <c r="R37" s="818">
        <v>62.69510429999999</v>
      </c>
      <c r="S37" s="818">
        <v>15.3456616</v>
      </c>
      <c r="T37" s="818">
        <v>1096.9119295000007</v>
      </c>
      <c r="U37" s="818">
        <f t="shared" si="4"/>
        <v>15754.340798399999</v>
      </c>
      <c r="V37" s="30"/>
      <c r="W37" s="30"/>
      <c r="X37" s="30"/>
    </row>
    <row r="38" spans="1:24" s="824" customFormat="1" ht="12.2" customHeight="1">
      <c r="A38" s="580" t="s">
        <v>573</v>
      </c>
      <c r="B38" s="838">
        <v>2889.6314199999997</v>
      </c>
      <c r="C38" s="838">
        <v>3139.6446960000003</v>
      </c>
      <c r="D38" s="838">
        <v>2210.4558769999999</v>
      </c>
      <c r="E38" s="838">
        <v>1710.93914</v>
      </c>
      <c r="F38" s="838">
        <v>3099.1653849999998</v>
      </c>
      <c r="G38" s="838">
        <v>2.0392600000000001</v>
      </c>
      <c r="H38" s="838">
        <v>1516.1898099999999</v>
      </c>
      <c r="I38" s="838">
        <v>1085.6000609999999</v>
      </c>
      <c r="J38" s="838">
        <v>418.25222599999995</v>
      </c>
      <c r="K38" s="838">
        <v>118.888858</v>
      </c>
      <c r="L38" s="838">
        <v>581.69891499999994</v>
      </c>
      <c r="M38" s="838">
        <v>0</v>
      </c>
      <c r="N38" s="838">
        <v>72.597656000000001</v>
      </c>
      <c r="O38" s="838">
        <v>1007.5983659999998</v>
      </c>
      <c r="P38" s="838">
        <v>134.795086</v>
      </c>
      <c r="Q38" s="838">
        <v>1057.3563099999999</v>
      </c>
      <c r="R38" s="838">
        <v>40.683236999999998</v>
      </c>
      <c r="S38" s="838">
        <v>22.839711999999999</v>
      </c>
      <c r="T38" s="838">
        <v>1513.3348459999984</v>
      </c>
      <c r="U38" s="838">
        <f t="shared" si="4"/>
        <v>20621.710860999996</v>
      </c>
      <c r="V38" s="30"/>
      <c r="W38" s="30"/>
      <c r="X38" s="30"/>
    </row>
    <row r="39" spans="1:24" s="824" customFormat="1" ht="12.2" customHeight="1">
      <c r="A39" s="577" t="s">
        <v>582</v>
      </c>
      <c r="B39" s="818">
        <v>2843.37084</v>
      </c>
      <c r="C39" s="818">
        <v>2100.5972000000002</v>
      </c>
      <c r="D39" s="818">
        <v>1803.9817600000001</v>
      </c>
      <c r="E39" s="818">
        <v>1390.7579599999999</v>
      </c>
      <c r="F39" s="818">
        <v>2533.99332</v>
      </c>
      <c r="G39" s="818">
        <v>2.6759200000000001</v>
      </c>
      <c r="H39" s="818">
        <v>1211.5742399999999</v>
      </c>
      <c r="I39" s="818">
        <v>861.74916000000007</v>
      </c>
      <c r="J39" s="818">
        <v>399.53543999999999</v>
      </c>
      <c r="K39" s="818">
        <v>87.996600000000015</v>
      </c>
      <c r="L39" s="818">
        <v>502.66128000000009</v>
      </c>
      <c r="M39" s="818">
        <v>0</v>
      </c>
      <c r="N39" s="818">
        <v>89.025800000000004</v>
      </c>
      <c r="O39" s="818">
        <v>952.83335999999997</v>
      </c>
      <c r="P39" s="818">
        <v>112.07988</v>
      </c>
      <c r="Q39" s="818">
        <v>1015.40872</v>
      </c>
      <c r="R39" s="818">
        <v>60.208199999999998</v>
      </c>
      <c r="S39" s="818">
        <v>15.129239999999999</v>
      </c>
      <c r="T39" s="818">
        <v>1357.5148000000022</v>
      </c>
      <c r="U39" s="818">
        <f t="shared" si="4"/>
        <v>17341.093720000001</v>
      </c>
      <c r="V39" s="30"/>
      <c r="W39" s="30"/>
      <c r="X39" s="30"/>
    </row>
    <row r="40" spans="1:24" s="824" customFormat="1" ht="12.2" customHeight="1">
      <c r="A40" s="580" t="s">
        <v>583</v>
      </c>
      <c r="B40" s="838">
        <v>3341.2799112000002</v>
      </c>
      <c r="C40" s="838">
        <v>2460.1332063</v>
      </c>
      <c r="D40" s="838">
        <v>1729.2021285000003</v>
      </c>
      <c r="E40" s="838">
        <v>1237.2172427999999</v>
      </c>
      <c r="F40" s="838">
        <v>2350.6292502000006</v>
      </c>
      <c r="G40" s="838">
        <v>1.9833891000000001</v>
      </c>
      <c r="H40" s="838">
        <v>1212.1639067999999</v>
      </c>
      <c r="I40" s="838">
        <v>753.47908020000011</v>
      </c>
      <c r="J40" s="838">
        <v>381.7502073</v>
      </c>
      <c r="K40" s="838">
        <v>85.076953500000016</v>
      </c>
      <c r="L40" s="838">
        <v>538.22916840000005</v>
      </c>
      <c r="M40" s="838">
        <v>0</v>
      </c>
      <c r="N40" s="838">
        <v>128.81590260000002</v>
      </c>
      <c r="O40" s="838">
        <v>897.01381770000012</v>
      </c>
      <c r="P40" s="838">
        <v>77.978508300000001</v>
      </c>
      <c r="Q40" s="838">
        <v>1000.9851621</v>
      </c>
      <c r="R40" s="838">
        <v>52.820783400000003</v>
      </c>
      <c r="S40" s="838">
        <v>16.911001800000001</v>
      </c>
      <c r="T40" s="838">
        <v>1393.3830372000016</v>
      </c>
      <c r="U40" s="838">
        <f t="shared" si="4"/>
        <v>17659.052657400003</v>
      </c>
      <c r="V40" s="30"/>
      <c r="W40" s="30"/>
      <c r="X40" s="30"/>
    </row>
    <row r="41" spans="1:24" s="824" customFormat="1" ht="12.2" customHeight="1">
      <c r="A41" s="577" t="s">
        <v>574</v>
      </c>
      <c r="B41" s="818">
        <v>4299.0206446000002</v>
      </c>
      <c r="C41" s="818">
        <v>4125.6875544000004</v>
      </c>
      <c r="D41" s="818">
        <v>2905.1557702</v>
      </c>
      <c r="E41" s="818">
        <v>1212.6963238000001</v>
      </c>
      <c r="F41" s="818">
        <v>2640.9736932000001</v>
      </c>
      <c r="G41" s="818">
        <v>4.2353840000000007</v>
      </c>
      <c r="H41" s="818">
        <v>1286.0743516</v>
      </c>
      <c r="I41" s="818">
        <v>949.67897740000012</v>
      </c>
      <c r="J41" s="818">
        <v>579.71818499999995</v>
      </c>
      <c r="K41" s="818">
        <v>195.78062539999999</v>
      </c>
      <c r="L41" s="818">
        <v>547.52926660000003</v>
      </c>
      <c r="M41" s="818">
        <v>0.21176920000000005</v>
      </c>
      <c r="N41" s="818">
        <v>88.943064000000007</v>
      </c>
      <c r="O41" s="818">
        <v>1231.0143596000003</v>
      </c>
      <c r="P41" s="818">
        <v>113.72006040000001</v>
      </c>
      <c r="Q41" s="818">
        <v>1029.9395042000001</v>
      </c>
      <c r="R41" s="818">
        <v>67.342605599999999</v>
      </c>
      <c r="S41" s="818">
        <v>12.9179212</v>
      </c>
      <c r="T41" s="818">
        <v>1994.2305563999992</v>
      </c>
      <c r="U41" s="818">
        <f t="shared" si="4"/>
        <v>23284.870616799995</v>
      </c>
      <c r="V41" s="30"/>
      <c r="W41" s="30"/>
      <c r="X41" s="30"/>
    </row>
    <row r="42" spans="1:24" s="824" customFormat="1" ht="12.2" customHeight="1">
      <c r="A42" s="581" t="s">
        <v>2515</v>
      </c>
      <c r="B42" s="838"/>
      <c r="C42" s="838"/>
      <c r="D42" s="838"/>
      <c r="E42" s="838"/>
      <c r="F42" s="838"/>
      <c r="G42" s="838"/>
      <c r="H42" s="838"/>
      <c r="I42" s="838"/>
      <c r="J42" s="838"/>
      <c r="K42" s="838"/>
      <c r="L42" s="838"/>
      <c r="M42" s="838"/>
      <c r="N42" s="838"/>
      <c r="O42" s="838"/>
      <c r="P42" s="838"/>
      <c r="Q42" s="838"/>
      <c r="R42" s="838"/>
      <c r="S42" s="838"/>
      <c r="T42" s="838"/>
      <c r="U42" s="838"/>
      <c r="V42" s="30"/>
      <c r="W42" s="30"/>
      <c r="X42" s="30"/>
    </row>
    <row r="43" spans="1:24" s="824" customFormat="1" ht="12.2" customHeight="1">
      <c r="A43" s="577" t="s">
        <v>576</v>
      </c>
      <c r="B43" s="818">
        <v>3344.2838999999999</v>
      </c>
      <c r="C43" s="818">
        <v>3588.7700856000001</v>
      </c>
      <c r="D43" s="818">
        <v>2406.2530500000003</v>
      </c>
      <c r="E43" s="818">
        <v>1248.6414132</v>
      </c>
      <c r="F43" s="818">
        <v>2175.1439999999998</v>
      </c>
      <c r="G43" s="818">
        <v>2.1751440000000004</v>
      </c>
      <c r="H43" s="818">
        <v>1235.5905491999999</v>
      </c>
      <c r="I43" s="818">
        <v>1313.5694616000001</v>
      </c>
      <c r="J43" s="818">
        <v>464.28448679999991</v>
      </c>
      <c r="K43" s="818">
        <v>104.7331836</v>
      </c>
      <c r="L43" s="818">
        <v>528.23372039999992</v>
      </c>
      <c r="M43" s="818">
        <v>0.1087572</v>
      </c>
      <c r="N43" s="818">
        <v>55.792443599999999</v>
      </c>
      <c r="O43" s="818">
        <v>1268.7614951999999</v>
      </c>
      <c r="P43" s="818">
        <v>89.180903999999984</v>
      </c>
      <c r="Q43" s="818">
        <v>1235.5905491999999</v>
      </c>
      <c r="R43" s="818">
        <v>79.936542000000003</v>
      </c>
      <c r="S43" s="818">
        <v>16.6398516</v>
      </c>
      <c r="T43" s="818">
        <v>2301.7373807999998</v>
      </c>
      <c r="U43" s="818">
        <f t="shared" si="4"/>
        <v>21459.426917999997</v>
      </c>
      <c r="V43" s="30"/>
      <c r="W43" s="30"/>
      <c r="X43" s="30"/>
    </row>
    <row r="44" spans="1:24" s="824" customFormat="1" ht="12.2" customHeight="1">
      <c r="A44" s="580" t="s">
        <v>577</v>
      </c>
      <c r="B44" s="838">
        <v>3189.1624608000002</v>
      </c>
      <c r="C44" s="838">
        <v>2611.5536502000004</v>
      </c>
      <c r="D44" s="838">
        <v>2403.8027458000006</v>
      </c>
      <c r="E44" s="838">
        <v>1272.446925</v>
      </c>
      <c r="F44" s="838">
        <v>1863.7379606000002</v>
      </c>
      <c r="G44" s="838">
        <v>1.64</v>
      </c>
      <c r="H44" s="838">
        <v>747.59677399999998</v>
      </c>
      <c r="I44" s="838">
        <v>708.73925500000007</v>
      </c>
      <c r="J44" s="838">
        <v>294.22256640000001</v>
      </c>
      <c r="K44" s="838">
        <v>53.743779800000006</v>
      </c>
      <c r="L44" s="838">
        <v>252.4096868</v>
      </c>
      <c r="M44" s="838">
        <v>0</v>
      </c>
      <c r="N44" s="838">
        <v>41.156132800000002</v>
      </c>
      <c r="O44" s="838">
        <v>911.34564280000018</v>
      </c>
      <c r="P44" s="838">
        <v>66.1125112</v>
      </c>
      <c r="Q44" s="838">
        <v>1217.8274828000001</v>
      </c>
      <c r="R44" s="838">
        <v>47.942516400000002</v>
      </c>
      <c r="S44" s="838">
        <v>12.916020399999999</v>
      </c>
      <c r="T44" s="838">
        <v>1810.8698432000008</v>
      </c>
      <c r="U44" s="838">
        <f t="shared" si="4"/>
        <v>17507.225954000001</v>
      </c>
      <c r="V44" s="30"/>
      <c r="W44" s="30"/>
      <c r="X44" s="30"/>
    </row>
    <row r="45" spans="1:24" s="824" customFormat="1" ht="12.2" customHeight="1">
      <c r="A45" s="577" t="s">
        <v>571</v>
      </c>
      <c r="B45" s="818">
        <v>2377.00155</v>
      </c>
      <c r="C45" s="818">
        <v>2827.8785499999999</v>
      </c>
      <c r="D45" s="818">
        <v>1626.4563000000001</v>
      </c>
      <c r="E45" s="818">
        <v>1025.0303699999999</v>
      </c>
      <c r="F45" s="818">
        <v>1552.66643</v>
      </c>
      <c r="G45" s="818">
        <v>1.42961</v>
      </c>
      <c r="H45" s="818">
        <v>798.05228999999986</v>
      </c>
      <c r="I45" s="818">
        <v>466.60271</v>
      </c>
      <c r="J45" s="818">
        <v>270.85611</v>
      </c>
      <c r="K45" s="818">
        <v>81.707709999999992</v>
      </c>
      <c r="L45" s="818">
        <v>283.17275000000001</v>
      </c>
      <c r="M45" s="818">
        <v>0</v>
      </c>
      <c r="N45" s="818">
        <v>64.772329999999997</v>
      </c>
      <c r="O45" s="818">
        <v>696.33004000000005</v>
      </c>
      <c r="P45" s="818">
        <v>63.34272</v>
      </c>
      <c r="Q45" s="818">
        <v>1022.3910899999998</v>
      </c>
      <c r="R45" s="818">
        <v>84.237020000000001</v>
      </c>
      <c r="S45" s="818">
        <v>10.33718</v>
      </c>
      <c r="T45" s="818">
        <v>1421.5821899999992</v>
      </c>
      <c r="U45" s="818">
        <f t="shared" si="4"/>
        <v>14673.846949999999</v>
      </c>
      <c r="V45" s="30"/>
      <c r="W45" s="30"/>
      <c r="X45" s="30"/>
    </row>
    <row r="46" spans="1:24" s="824" customFormat="1" ht="12.2" customHeight="1">
      <c r="A46" s="580" t="s">
        <v>578</v>
      </c>
      <c r="B46" s="838">
        <v>2770.3308138000002</v>
      </c>
      <c r="C46" s="838">
        <v>3638.6764391999995</v>
      </c>
      <c r="D46" s="838">
        <v>2592.2199666000001</v>
      </c>
      <c r="E46" s="838">
        <v>1679.6781011999999</v>
      </c>
      <c r="F46" s="838">
        <v>2033.3585117999999</v>
      </c>
      <c r="G46" s="838">
        <v>1.7678495999999999</v>
      </c>
      <c r="H46" s="838">
        <v>1116.6180036000001</v>
      </c>
      <c r="I46" s="838">
        <v>820.83466740000006</v>
      </c>
      <c r="J46" s="838">
        <v>465.71787899999998</v>
      </c>
      <c r="K46" s="838">
        <v>182.30949000000001</v>
      </c>
      <c r="L46" s="838">
        <v>571.34689260000005</v>
      </c>
      <c r="M46" s="838">
        <v>0</v>
      </c>
      <c r="N46" s="838">
        <v>95.574369000000004</v>
      </c>
      <c r="O46" s="838">
        <v>1378.0387631999999</v>
      </c>
      <c r="P46" s="838">
        <v>120.1032822</v>
      </c>
      <c r="Q46" s="838">
        <v>1969.8264168000001</v>
      </c>
      <c r="R46" s="838">
        <v>84.967271400000001</v>
      </c>
      <c r="S46" s="838">
        <v>11.4910224</v>
      </c>
      <c r="T46" s="838">
        <v>2249.588616</v>
      </c>
      <c r="U46" s="838">
        <f t="shared" si="4"/>
        <v>21782.448355800003</v>
      </c>
      <c r="V46" s="30"/>
      <c r="W46" s="30"/>
      <c r="X46" s="30"/>
    </row>
    <row r="47" spans="1:24" s="824" customFormat="1" ht="12.2" customHeight="1">
      <c r="A47" s="577" t="s">
        <v>579</v>
      </c>
      <c r="B47" s="818">
        <v>2155.5227519999999</v>
      </c>
      <c r="C47" s="818">
        <v>4218.3491551999996</v>
      </c>
      <c r="D47" s="818">
        <v>2950.3163263999995</v>
      </c>
      <c r="E47" s="818">
        <v>1292.3157239999998</v>
      </c>
      <c r="F47" s="818">
        <v>2433.1682751999997</v>
      </c>
      <c r="G47" s="818">
        <v>2.1067352000000001</v>
      </c>
      <c r="H47" s="818">
        <v>972.3137352</v>
      </c>
      <c r="I47" s="818">
        <v>735.80498879999993</v>
      </c>
      <c r="J47" s="818">
        <v>495.74805679999997</v>
      </c>
      <c r="K47" s="818">
        <v>94.69220319999998</v>
      </c>
      <c r="L47" s="818">
        <v>527.79260799999997</v>
      </c>
      <c r="M47" s="818">
        <v>0.55440400000000001</v>
      </c>
      <c r="N47" s="818">
        <v>51.781333599999996</v>
      </c>
      <c r="O47" s="818">
        <v>1583.7104664000001</v>
      </c>
      <c r="P47" s="818">
        <v>93.139871999999997</v>
      </c>
      <c r="Q47" s="818">
        <v>1647.4669263999999</v>
      </c>
      <c r="R47" s="818">
        <v>89.702567200000004</v>
      </c>
      <c r="S47" s="818">
        <v>17.075643199999998</v>
      </c>
      <c r="T47" s="818">
        <v>2038.8761504000008</v>
      </c>
      <c r="U47" s="818">
        <f t="shared" si="4"/>
        <v>21400.437923199999</v>
      </c>
      <c r="V47" s="30"/>
      <c r="W47" s="30"/>
      <c r="X47" s="30"/>
    </row>
    <row r="48" spans="1:24" s="824" customFormat="1" ht="12.2" customHeight="1">
      <c r="A48" s="580" t="s">
        <v>2782</v>
      </c>
      <c r="B48" s="838">
        <v>1822.7149285999999</v>
      </c>
      <c r="C48" s="838">
        <v>4879.5930324000001</v>
      </c>
      <c r="D48" s="838">
        <v>3088.3820906000001</v>
      </c>
      <c r="E48" s="838">
        <v>1348.8332810000002</v>
      </c>
      <c r="F48" s="838">
        <v>2314.8821070000004</v>
      </c>
      <c r="G48" s="838">
        <v>1.32</v>
      </c>
      <c r="H48" s="838">
        <v>923.97007439999993</v>
      </c>
      <c r="I48" s="838">
        <v>856.11533359999999</v>
      </c>
      <c r="J48" s="838">
        <v>665.21879820000004</v>
      </c>
      <c r="K48" s="838">
        <v>73.582738399999997</v>
      </c>
      <c r="L48" s="838">
        <v>560.57268820000002</v>
      </c>
      <c r="M48" s="838">
        <v>0.11015380000000001</v>
      </c>
      <c r="N48" s="838">
        <v>138.79378800000001</v>
      </c>
      <c r="O48" s="838">
        <v>1667.9488396000002</v>
      </c>
      <c r="P48" s="838">
        <v>110.5944152</v>
      </c>
      <c r="Q48" s="838">
        <v>1298.7133020000001</v>
      </c>
      <c r="R48" s="838">
        <v>71.269508599999995</v>
      </c>
      <c r="S48" s="838">
        <v>13.769225</v>
      </c>
      <c r="T48" s="838">
        <v>2098.0994286000005</v>
      </c>
      <c r="U48" s="838">
        <f t="shared" si="4"/>
        <v>21934.483733200002</v>
      </c>
      <c r="V48" s="30"/>
      <c r="W48" s="30"/>
      <c r="X48" s="30"/>
    </row>
    <row r="49" spans="1:25" s="824" customFormat="1" ht="12.2" customHeight="1" thickBot="1">
      <c r="A49" s="1777" t="s">
        <v>580</v>
      </c>
      <c r="B49" s="1778">
        <v>1931.7364072621999</v>
      </c>
      <c r="C49" s="1778">
        <v>4918.2854600549999</v>
      </c>
      <c r="D49" s="1778">
        <v>2646.1640026118002</v>
      </c>
      <c r="E49" s="1778">
        <v>1483.8027199600003</v>
      </c>
      <c r="F49" s="1778">
        <v>2283.0088142982995</v>
      </c>
      <c r="G49" s="1778">
        <v>1.1494103500000001</v>
      </c>
      <c r="H49" s="1778">
        <v>1212.7176408600001</v>
      </c>
      <c r="I49" s="1778">
        <v>978.18675151999992</v>
      </c>
      <c r="J49" s="1778">
        <v>786.40496846120004</v>
      </c>
      <c r="K49" s="1778">
        <v>128.89712641080001</v>
      </c>
      <c r="L49" s="1778">
        <v>714.58684261579992</v>
      </c>
      <c r="M49" s="1778">
        <v>0.02</v>
      </c>
      <c r="N49" s="1778">
        <v>72.36</v>
      </c>
      <c r="O49" s="1778">
        <v>1748.6753884600002</v>
      </c>
      <c r="P49" s="1778">
        <v>114.87</v>
      </c>
      <c r="Q49" s="1778">
        <v>1514.31</v>
      </c>
      <c r="R49" s="1778">
        <v>124.43</v>
      </c>
      <c r="S49" s="1778">
        <v>11.59</v>
      </c>
      <c r="T49" s="1778">
        <v>2439.2581911609986</v>
      </c>
      <c r="U49" s="1778">
        <f t="shared" si="4"/>
        <v>23110.453724026102</v>
      </c>
      <c r="V49" s="30"/>
      <c r="W49" s="30"/>
      <c r="X49" s="30"/>
    </row>
    <row r="50" spans="1:25" s="824" customFormat="1" ht="12" customHeight="1">
      <c r="A50" s="54" t="s">
        <v>759</v>
      </c>
      <c r="B50" s="9" t="s">
        <v>1380</v>
      </c>
      <c r="C50" s="182"/>
      <c r="D50" s="182"/>
      <c r="E50" s="182"/>
      <c r="F50" s="182"/>
      <c r="G50" s="182"/>
      <c r="H50" s="182"/>
      <c r="I50" s="182"/>
      <c r="J50" s="182"/>
      <c r="K50" s="676"/>
      <c r="L50" s="621"/>
      <c r="M50" s="621"/>
      <c r="N50" s="621"/>
      <c r="O50" s="621"/>
      <c r="P50" s="621"/>
      <c r="Q50" s="621"/>
      <c r="R50" s="621"/>
      <c r="S50" s="621"/>
      <c r="T50" s="621"/>
      <c r="U50" s="621"/>
      <c r="V50" s="30"/>
      <c r="W50" s="30"/>
      <c r="X50" s="30"/>
    </row>
    <row r="51" spans="1:25" s="9" customFormat="1" ht="11.1" customHeight="1">
      <c r="B51" s="66"/>
      <c r="C51" s="55"/>
      <c r="D51" s="7"/>
      <c r="E51" s="7" t="s">
        <v>2566</v>
      </c>
      <c r="F51" s="7"/>
      <c r="G51" s="7"/>
      <c r="H51" s="55"/>
      <c r="I51" s="7"/>
      <c r="J51" s="7"/>
      <c r="L51" s="162"/>
      <c r="M51" s="744"/>
      <c r="N51" s="100"/>
      <c r="O51" s="16"/>
      <c r="P51" s="182"/>
      <c r="Q51" s="182"/>
      <c r="R51" s="184"/>
      <c r="S51" s="184"/>
      <c r="T51" s="16"/>
    </row>
    <row r="52" spans="1:25" s="9" customFormat="1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953"/>
    </row>
    <row r="53" spans="1:25" s="9" customFormat="1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953"/>
    </row>
    <row r="54" spans="1:25" s="9" customFormat="1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"/>
      <c r="V54" s="150"/>
      <c r="W54" s="150"/>
      <c r="X54" s="150"/>
    </row>
    <row r="55" spans="1:25" s="9" customFormat="1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"/>
      <c r="V55" s="150"/>
      <c r="W55" s="150"/>
      <c r="X55" s="150"/>
    </row>
    <row r="56" spans="1:25" s="9" customFormat="1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"/>
      <c r="V56" s="150"/>
      <c r="W56" s="150"/>
      <c r="X56" s="150"/>
    </row>
    <row r="57" spans="1:25" s="9" customFormat="1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"/>
      <c r="V57" s="150"/>
      <c r="W57" s="150"/>
      <c r="X57" s="150"/>
    </row>
    <row r="58" spans="1:25" s="9" customFormat="1"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"/>
      <c r="V58" s="150"/>
      <c r="W58" s="150"/>
      <c r="X58" s="150"/>
    </row>
    <row r="59" spans="1:25" s="9" customFormat="1"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"/>
      <c r="W59" s="166"/>
    </row>
    <row r="60" spans="1:25" s="9" customFormat="1">
      <c r="B60" s="166"/>
      <c r="C60" s="166"/>
      <c r="D60" s="166"/>
      <c r="E60" s="166"/>
      <c r="F60" s="166"/>
      <c r="G60" s="166"/>
      <c r="H60" s="166"/>
      <c r="I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256"/>
      <c r="V60" s="166"/>
      <c r="W60" s="166"/>
    </row>
    <row r="61" spans="1:25" s="9" customFormat="1"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256"/>
      <c r="V61" s="166"/>
      <c r="W61" s="166"/>
    </row>
    <row r="62" spans="1:25" s="168" customFormat="1">
      <c r="A62" s="8"/>
      <c r="B62" s="166"/>
      <c r="C62" s="166"/>
      <c r="D62" s="166"/>
      <c r="E62" s="166"/>
      <c r="F62" s="166"/>
      <c r="G62" s="166"/>
      <c r="H62" s="166"/>
      <c r="I62" s="166"/>
      <c r="J62" s="1083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256"/>
      <c r="V62" s="166"/>
      <c r="W62" s="166"/>
      <c r="X62" s="166"/>
      <c r="Y62" s="166"/>
    </row>
    <row r="63" spans="1:25" s="9" customFormat="1">
      <c r="A63" s="8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256"/>
      <c r="V63" s="166"/>
      <c r="W63" s="166"/>
    </row>
    <row r="64" spans="1:25" s="9" customFormat="1">
      <c r="A64" s="8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256"/>
      <c r="V64" s="166"/>
    </row>
    <row r="65" spans="1:21" s="9" customFormat="1">
      <c r="A65" s="168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</row>
    <row r="66" spans="1:21" s="9" customFormat="1">
      <c r="A66" s="168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</row>
    <row r="67" spans="1:21" s="9" customFormat="1">
      <c r="A67" s="8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</row>
    <row r="68" spans="1:21" s="9" customFormat="1"/>
    <row r="69" spans="1:21" s="9" customFormat="1"/>
    <row r="70" spans="1:21" s="9" customFormat="1"/>
    <row r="71" spans="1:21" s="9" customFormat="1"/>
    <row r="72" spans="1:21" s="9" customFormat="1"/>
    <row r="73" spans="1:21" s="9" customFormat="1"/>
    <row r="74" spans="1:21" s="9" customFormat="1"/>
    <row r="75" spans="1:21" s="9" customFormat="1"/>
    <row r="76" spans="1:21" s="9" customFormat="1"/>
    <row r="77" spans="1:21" s="9" customFormat="1"/>
    <row r="78" spans="1:21" s="9" customFormat="1"/>
    <row r="79" spans="1:21" s="9" customFormat="1"/>
    <row r="80" spans="1:21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3"/>
  <sheetViews>
    <sheetView zoomScale="160" zoomScaleNormal="160" workbookViewId="0">
      <pane xSplit="1" ySplit="6" topLeftCell="B43" activePane="bottomRight" state="frozen"/>
      <selection activeCell="L47" sqref="L47"/>
      <selection pane="topRight" activeCell="L47" sqref="L47"/>
      <selection pane="bottomLeft" activeCell="L47" sqref="L47"/>
      <selection pane="bottomRight" activeCell="C51" sqref="C51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3" customFormat="1" ht="14.25" customHeight="1">
      <c r="C1" s="53"/>
      <c r="D1" s="53"/>
      <c r="F1" s="2207" t="s">
        <v>327</v>
      </c>
      <c r="G1" s="2207"/>
      <c r="H1" s="135" t="s">
        <v>325</v>
      </c>
      <c r="M1" s="2207" t="s">
        <v>1149</v>
      </c>
      <c r="N1" s="2207"/>
      <c r="O1" s="2207"/>
      <c r="U1" s="2207" t="s">
        <v>327</v>
      </c>
      <c r="V1" s="2207"/>
      <c r="W1" s="135" t="s">
        <v>325</v>
      </c>
      <c r="AB1" s="2207" t="s">
        <v>1149</v>
      </c>
      <c r="AC1" s="2207"/>
      <c r="AD1" s="2207"/>
      <c r="AJ1" s="2207" t="s">
        <v>327</v>
      </c>
      <c r="AK1" s="2207"/>
      <c r="AL1" s="135" t="s">
        <v>325</v>
      </c>
      <c r="AQ1" s="2207" t="s">
        <v>1149</v>
      </c>
      <c r="AR1" s="2207"/>
      <c r="AS1" s="2207"/>
      <c r="AY1" s="2207" t="s">
        <v>327</v>
      </c>
      <c r="AZ1" s="2207"/>
      <c r="BA1" s="135" t="s">
        <v>325</v>
      </c>
      <c r="BF1" s="2207" t="s">
        <v>1149</v>
      </c>
      <c r="BG1" s="2207"/>
      <c r="BH1" s="2207"/>
      <c r="BN1" s="2207" t="s">
        <v>327</v>
      </c>
      <c r="BO1" s="2207"/>
      <c r="BP1" s="135" t="s">
        <v>325</v>
      </c>
      <c r="BU1" s="2207" t="s">
        <v>1150</v>
      </c>
      <c r="BV1" s="2207"/>
      <c r="BW1" s="2207"/>
    </row>
    <row r="2" spans="1:75" s="62" customFormat="1" ht="12.75" customHeight="1">
      <c r="G2" s="1025" t="s">
        <v>324</v>
      </c>
      <c r="H2" s="11" t="s">
        <v>326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025" t="s">
        <v>324</v>
      </c>
      <c r="W2" s="11" t="s">
        <v>326</v>
      </c>
      <c r="AC2" s="2458"/>
      <c r="AD2" s="2458"/>
      <c r="AK2" s="1025" t="s">
        <v>324</v>
      </c>
      <c r="AL2" s="11" t="s">
        <v>326</v>
      </c>
      <c r="AZ2" s="1025" t="s">
        <v>324</v>
      </c>
      <c r="BA2" s="11" t="s">
        <v>326</v>
      </c>
      <c r="BO2" s="1025" t="s">
        <v>324</v>
      </c>
      <c r="BP2" s="11" t="s">
        <v>326</v>
      </c>
    </row>
    <row r="3" spans="1:75" s="84" customFormat="1" ht="11.25" customHeight="1">
      <c r="A3" s="2237" t="s">
        <v>498</v>
      </c>
      <c r="B3" s="2237" t="s">
        <v>630</v>
      </c>
      <c r="C3" s="2237"/>
      <c r="D3" s="2237" t="s">
        <v>531</v>
      </c>
      <c r="E3" s="2237"/>
      <c r="F3" s="2237" t="s">
        <v>532</v>
      </c>
      <c r="G3" s="2237"/>
      <c r="H3" s="2237" t="s">
        <v>533</v>
      </c>
      <c r="I3" s="2237"/>
      <c r="J3" s="2237" t="s">
        <v>56</v>
      </c>
      <c r="K3" s="2237"/>
      <c r="L3" s="2237" t="s">
        <v>534</v>
      </c>
      <c r="M3" s="2237"/>
      <c r="N3" s="2237" t="s">
        <v>1421</v>
      </c>
      <c r="O3" s="2237"/>
      <c r="P3" s="2237" t="s">
        <v>498</v>
      </c>
      <c r="Q3" s="2032" t="s">
        <v>58</v>
      </c>
      <c r="R3" s="2032"/>
      <c r="S3" s="2237" t="s">
        <v>535</v>
      </c>
      <c r="T3" s="2237"/>
      <c r="U3" s="2237" t="s">
        <v>536</v>
      </c>
      <c r="V3" s="2237"/>
      <c r="W3" s="2237" t="s">
        <v>244</v>
      </c>
      <c r="X3" s="2237"/>
      <c r="Y3" s="2237" t="s">
        <v>59</v>
      </c>
      <c r="Z3" s="2237"/>
      <c r="AA3" s="2237" t="s">
        <v>537</v>
      </c>
      <c r="AB3" s="2237"/>
      <c r="AC3" s="2237" t="s">
        <v>631</v>
      </c>
      <c r="AD3" s="2237"/>
      <c r="AE3" s="2237" t="s">
        <v>498</v>
      </c>
      <c r="AF3" s="2237" t="s">
        <v>245</v>
      </c>
      <c r="AG3" s="2237"/>
      <c r="AH3" s="2237" t="s">
        <v>538</v>
      </c>
      <c r="AI3" s="2237"/>
      <c r="AJ3" s="2237" t="s">
        <v>539</v>
      </c>
      <c r="AK3" s="2237"/>
      <c r="AL3" s="2237" t="s">
        <v>540</v>
      </c>
      <c r="AM3" s="2237"/>
      <c r="AN3" s="2237" t="s">
        <v>541</v>
      </c>
      <c r="AO3" s="2237"/>
      <c r="AP3" s="2237" t="s">
        <v>542</v>
      </c>
      <c r="AQ3" s="2237"/>
      <c r="AR3" s="2237" t="s">
        <v>543</v>
      </c>
      <c r="AS3" s="2237"/>
      <c r="AT3" s="2237" t="s">
        <v>498</v>
      </c>
      <c r="AU3" s="2237" t="s">
        <v>544</v>
      </c>
      <c r="AV3" s="2237"/>
      <c r="AW3" s="2237" t="s">
        <v>545</v>
      </c>
      <c r="AX3" s="2237"/>
      <c r="AY3" s="2237" t="s">
        <v>546</v>
      </c>
      <c r="AZ3" s="2237"/>
      <c r="BA3" s="2237" t="s">
        <v>246</v>
      </c>
      <c r="BB3" s="2237"/>
      <c r="BC3" s="2237" t="s">
        <v>547</v>
      </c>
      <c r="BD3" s="2237"/>
      <c r="BE3" s="2237" t="s">
        <v>548</v>
      </c>
      <c r="BF3" s="2237"/>
      <c r="BG3" s="2237" t="s">
        <v>392</v>
      </c>
      <c r="BH3" s="2237"/>
      <c r="BI3" s="2237" t="s">
        <v>498</v>
      </c>
      <c r="BJ3" s="2237" t="s">
        <v>685</v>
      </c>
      <c r="BK3" s="2237"/>
      <c r="BL3" s="2237" t="s">
        <v>632</v>
      </c>
      <c r="BM3" s="2237"/>
      <c r="BN3" s="2237" t="s">
        <v>549</v>
      </c>
      <c r="BO3" s="2237"/>
      <c r="BP3" s="2237" t="s">
        <v>1637</v>
      </c>
      <c r="BQ3" s="2237"/>
      <c r="BR3" s="2237" t="s">
        <v>550</v>
      </c>
      <c r="BS3" s="2237"/>
      <c r="BT3" s="2237" t="s">
        <v>551</v>
      </c>
      <c r="BU3" s="2237"/>
      <c r="BV3" s="2237" t="s">
        <v>1187</v>
      </c>
      <c r="BW3" s="2237"/>
    </row>
    <row r="4" spans="1:75" s="1029" customFormat="1" ht="20.25" customHeight="1">
      <c r="A4" s="2237"/>
      <c r="B4" s="2047" t="s">
        <v>1060</v>
      </c>
      <c r="C4" s="2047" t="s">
        <v>1061</v>
      </c>
      <c r="D4" s="2047" t="s">
        <v>1060</v>
      </c>
      <c r="E4" s="2047" t="s">
        <v>1061</v>
      </c>
      <c r="F4" s="2047" t="s">
        <v>1060</v>
      </c>
      <c r="G4" s="2047" t="s">
        <v>1062</v>
      </c>
      <c r="H4" s="2047" t="s">
        <v>1060</v>
      </c>
      <c r="I4" s="2047" t="s">
        <v>1061</v>
      </c>
      <c r="J4" s="2047" t="s">
        <v>1060</v>
      </c>
      <c r="K4" s="2047" t="s">
        <v>1061</v>
      </c>
      <c r="L4" s="2047" t="s">
        <v>1060</v>
      </c>
      <c r="M4" s="2047" t="s">
        <v>1061</v>
      </c>
      <c r="N4" s="2047" t="s">
        <v>1060</v>
      </c>
      <c r="O4" s="2047" t="s">
        <v>1061</v>
      </c>
      <c r="P4" s="2237"/>
      <c r="Q4" s="2047" t="s">
        <v>1060</v>
      </c>
      <c r="R4" s="2047" t="s">
        <v>1061</v>
      </c>
      <c r="S4" s="2047" t="s">
        <v>1060</v>
      </c>
      <c r="T4" s="2047" t="s">
        <v>1061</v>
      </c>
      <c r="U4" s="2047" t="s">
        <v>1060</v>
      </c>
      <c r="V4" s="2047" t="s">
        <v>1062</v>
      </c>
      <c r="W4" s="2047" t="s">
        <v>1060</v>
      </c>
      <c r="X4" s="2047" t="s">
        <v>1061</v>
      </c>
      <c r="Y4" s="2047" t="s">
        <v>1060</v>
      </c>
      <c r="Z4" s="2047" t="s">
        <v>1061</v>
      </c>
      <c r="AA4" s="2047" t="s">
        <v>1060</v>
      </c>
      <c r="AB4" s="2047" t="s">
        <v>1061</v>
      </c>
      <c r="AC4" s="2047" t="s">
        <v>1060</v>
      </c>
      <c r="AD4" s="2047" t="s">
        <v>1061</v>
      </c>
      <c r="AE4" s="2237"/>
      <c r="AF4" s="2047" t="s">
        <v>1060</v>
      </c>
      <c r="AG4" s="2047" t="s">
        <v>1061</v>
      </c>
      <c r="AH4" s="2047" t="s">
        <v>1060</v>
      </c>
      <c r="AI4" s="2047" t="s">
        <v>1061</v>
      </c>
      <c r="AJ4" s="2047" t="s">
        <v>1060</v>
      </c>
      <c r="AK4" s="2047" t="s">
        <v>1062</v>
      </c>
      <c r="AL4" s="2047" t="s">
        <v>1060</v>
      </c>
      <c r="AM4" s="2047" t="s">
        <v>1061</v>
      </c>
      <c r="AN4" s="2047" t="s">
        <v>1060</v>
      </c>
      <c r="AO4" s="2047" t="s">
        <v>1061</v>
      </c>
      <c r="AP4" s="2047" t="s">
        <v>1060</v>
      </c>
      <c r="AQ4" s="2047" t="s">
        <v>1061</v>
      </c>
      <c r="AR4" s="2047" t="s">
        <v>1060</v>
      </c>
      <c r="AS4" s="2047" t="s">
        <v>1061</v>
      </c>
      <c r="AT4" s="2237"/>
      <c r="AU4" s="2047" t="s">
        <v>1060</v>
      </c>
      <c r="AV4" s="2047" t="s">
        <v>1061</v>
      </c>
      <c r="AW4" s="2047" t="s">
        <v>1060</v>
      </c>
      <c r="AX4" s="2047" t="s">
        <v>1061</v>
      </c>
      <c r="AY4" s="2047" t="s">
        <v>1060</v>
      </c>
      <c r="AZ4" s="2047" t="s">
        <v>1062</v>
      </c>
      <c r="BA4" s="2047" t="s">
        <v>1060</v>
      </c>
      <c r="BB4" s="2047" t="s">
        <v>1061</v>
      </c>
      <c r="BC4" s="2047" t="s">
        <v>1060</v>
      </c>
      <c r="BD4" s="2047" t="s">
        <v>1061</v>
      </c>
      <c r="BE4" s="2047" t="s">
        <v>1060</v>
      </c>
      <c r="BF4" s="2047" t="s">
        <v>1061</v>
      </c>
      <c r="BG4" s="2047" t="s">
        <v>1060</v>
      </c>
      <c r="BH4" s="2047" t="s">
        <v>1061</v>
      </c>
      <c r="BI4" s="2237"/>
      <c r="BJ4" s="2047" t="s">
        <v>1060</v>
      </c>
      <c r="BK4" s="2047" t="s">
        <v>1061</v>
      </c>
      <c r="BL4" s="2047" t="s">
        <v>1060</v>
      </c>
      <c r="BM4" s="2047" t="s">
        <v>1061</v>
      </c>
      <c r="BN4" s="2047" t="s">
        <v>1060</v>
      </c>
      <c r="BO4" s="2047" t="s">
        <v>1062</v>
      </c>
      <c r="BP4" s="2047" t="s">
        <v>1060</v>
      </c>
      <c r="BQ4" s="2047" t="s">
        <v>1061</v>
      </c>
      <c r="BR4" s="2047" t="s">
        <v>1060</v>
      </c>
      <c r="BS4" s="2047" t="s">
        <v>1061</v>
      </c>
      <c r="BT4" s="2047" t="s">
        <v>1060</v>
      </c>
      <c r="BU4" s="2047" t="s">
        <v>1061</v>
      </c>
      <c r="BV4" s="2047" t="s">
        <v>1060</v>
      </c>
      <c r="BW4" s="2047" t="s">
        <v>1061</v>
      </c>
    </row>
    <row r="5" spans="1:75" s="1029" customFormat="1" ht="15.75" customHeight="1">
      <c r="A5" s="2237"/>
      <c r="B5" s="2049"/>
      <c r="C5" s="2049"/>
      <c r="D5" s="2049"/>
      <c r="E5" s="2049"/>
      <c r="F5" s="2049"/>
      <c r="G5" s="2049"/>
      <c r="H5" s="2049"/>
      <c r="I5" s="2049"/>
      <c r="J5" s="2049"/>
      <c r="K5" s="2049"/>
      <c r="L5" s="2049"/>
      <c r="M5" s="2049"/>
      <c r="N5" s="2049"/>
      <c r="O5" s="2049"/>
      <c r="P5" s="2237"/>
      <c r="Q5" s="2049"/>
      <c r="R5" s="2049"/>
      <c r="S5" s="2049"/>
      <c r="T5" s="2049"/>
      <c r="U5" s="2049"/>
      <c r="V5" s="2049"/>
      <c r="W5" s="2049"/>
      <c r="X5" s="2049"/>
      <c r="Y5" s="2049"/>
      <c r="Z5" s="2049"/>
      <c r="AA5" s="2049"/>
      <c r="AB5" s="2049"/>
      <c r="AC5" s="2049"/>
      <c r="AD5" s="2049"/>
      <c r="AE5" s="2237"/>
      <c r="AF5" s="2049"/>
      <c r="AG5" s="2049"/>
      <c r="AH5" s="2049"/>
      <c r="AI5" s="2049"/>
      <c r="AJ5" s="2049"/>
      <c r="AK5" s="2049"/>
      <c r="AL5" s="2049"/>
      <c r="AM5" s="2049"/>
      <c r="AN5" s="2049"/>
      <c r="AO5" s="2049"/>
      <c r="AP5" s="2049"/>
      <c r="AQ5" s="2049"/>
      <c r="AR5" s="2049"/>
      <c r="AS5" s="2049"/>
      <c r="AT5" s="2237"/>
      <c r="AU5" s="2049"/>
      <c r="AV5" s="2049"/>
      <c r="AW5" s="2049"/>
      <c r="AX5" s="2049"/>
      <c r="AY5" s="2049"/>
      <c r="AZ5" s="2049"/>
      <c r="BA5" s="2049"/>
      <c r="BB5" s="2049"/>
      <c r="BC5" s="2049"/>
      <c r="BD5" s="2049"/>
      <c r="BE5" s="2049"/>
      <c r="BF5" s="2049"/>
      <c r="BG5" s="2049"/>
      <c r="BH5" s="2049"/>
      <c r="BI5" s="2237"/>
      <c r="BJ5" s="2049"/>
      <c r="BK5" s="2049"/>
      <c r="BL5" s="2049"/>
      <c r="BM5" s="2049"/>
      <c r="BN5" s="2049"/>
      <c r="BO5" s="2049"/>
      <c r="BP5" s="2049"/>
      <c r="BQ5" s="2049"/>
      <c r="BR5" s="2049"/>
      <c r="BS5" s="2049"/>
      <c r="BT5" s="2049"/>
      <c r="BU5" s="2049"/>
      <c r="BV5" s="2049"/>
      <c r="BW5" s="2049"/>
    </row>
    <row r="6" spans="1:75" s="136" customFormat="1" ht="12">
      <c r="A6" s="2237"/>
      <c r="B6" s="1022">
        <v>1</v>
      </c>
      <c r="C6" s="1022">
        <v>2</v>
      </c>
      <c r="D6" s="1022">
        <v>3</v>
      </c>
      <c r="E6" s="1022">
        <v>4</v>
      </c>
      <c r="F6" s="1022">
        <v>5</v>
      </c>
      <c r="G6" s="1022">
        <v>6</v>
      </c>
      <c r="H6" s="1022">
        <v>7</v>
      </c>
      <c r="I6" s="1022">
        <v>8</v>
      </c>
      <c r="J6" s="1022">
        <v>9</v>
      </c>
      <c r="K6" s="1022">
        <v>10</v>
      </c>
      <c r="L6" s="1022">
        <v>11</v>
      </c>
      <c r="M6" s="1022">
        <v>12</v>
      </c>
      <c r="N6" s="1022">
        <v>13</v>
      </c>
      <c r="O6" s="1022">
        <v>14</v>
      </c>
      <c r="P6" s="2237"/>
      <c r="Q6" s="1022">
        <v>15</v>
      </c>
      <c r="R6" s="1022">
        <v>16</v>
      </c>
      <c r="S6" s="1022">
        <v>17</v>
      </c>
      <c r="T6" s="1022">
        <v>18</v>
      </c>
      <c r="U6" s="1022">
        <v>19</v>
      </c>
      <c r="V6" s="1022">
        <v>20</v>
      </c>
      <c r="W6" s="1022">
        <v>21</v>
      </c>
      <c r="X6" s="1022">
        <v>22</v>
      </c>
      <c r="Y6" s="1022">
        <v>23</v>
      </c>
      <c r="Z6" s="1022">
        <v>24</v>
      </c>
      <c r="AA6" s="1022">
        <v>25</v>
      </c>
      <c r="AB6" s="1022">
        <v>26</v>
      </c>
      <c r="AC6" s="1022">
        <v>27</v>
      </c>
      <c r="AD6" s="1022">
        <v>28</v>
      </c>
      <c r="AE6" s="2237"/>
      <c r="AF6" s="1022">
        <v>29</v>
      </c>
      <c r="AG6" s="1022">
        <v>30</v>
      </c>
      <c r="AH6" s="1022">
        <v>31</v>
      </c>
      <c r="AI6" s="1022">
        <v>32</v>
      </c>
      <c r="AJ6" s="1022">
        <v>33</v>
      </c>
      <c r="AK6" s="1022">
        <v>34</v>
      </c>
      <c r="AL6" s="1022">
        <v>35</v>
      </c>
      <c r="AM6" s="1022">
        <v>36</v>
      </c>
      <c r="AN6" s="1022">
        <v>37</v>
      </c>
      <c r="AO6" s="1022">
        <v>38</v>
      </c>
      <c r="AP6" s="1022">
        <v>39</v>
      </c>
      <c r="AQ6" s="1022">
        <v>40</v>
      </c>
      <c r="AR6" s="1022">
        <v>41</v>
      </c>
      <c r="AS6" s="1022">
        <v>42</v>
      </c>
      <c r="AT6" s="2237"/>
      <c r="AU6" s="1022">
        <v>43</v>
      </c>
      <c r="AV6" s="1022">
        <v>44</v>
      </c>
      <c r="AW6" s="1022">
        <v>45</v>
      </c>
      <c r="AX6" s="1022">
        <v>46</v>
      </c>
      <c r="AY6" s="1022">
        <v>47</v>
      </c>
      <c r="AZ6" s="1022">
        <v>48</v>
      </c>
      <c r="BA6" s="1022">
        <v>49</v>
      </c>
      <c r="BB6" s="1022">
        <v>50</v>
      </c>
      <c r="BC6" s="1022">
        <v>51</v>
      </c>
      <c r="BD6" s="1022">
        <v>52</v>
      </c>
      <c r="BE6" s="1022">
        <v>53</v>
      </c>
      <c r="BF6" s="1022">
        <v>54</v>
      </c>
      <c r="BG6" s="1022">
        <v>55</v>
      </c>
      <c r="BH6" s="1022">
        <v>56</v>
      </c>
      <c r="BI6" s="2237"/>
      <c r="BJ6" s="1022">
        <v>57</v>
      </c>
      <c r="BK6" s="1022">
        <v>58</v>
      </c>
      <c r="BL6" s="1022">
        <v>59</v>
      </c>
      <c r="BM6" s="1022">
        <v>60</v>
      </c>
      <c r="BN6" s="1022">
        <v>61</v>
      </c>
      <c r="BO6" s="1022">
        <v>62</v>
      </c>
      <c r="BP6" s="1022">
        <v>63</v>
      </c>
      <c r="BQ6" s="1022">
        <v>64</v>
      </c>
      <c r="BR6" s="1022">
        <v>65</v>
      </c>
      <c r="BS6" s="1022">
        <v>66</v>
      </c>
      <c r="BT6" s="1022">
        <v>67</v>
      </c>
      <c r="BU6" s="1022">
        <v>68</v>
      </c>
      <c r="BV6" s="1022">
        <v>69</v>
      </c>
      <c r="BW6" s="1022">
        <v>70</v>
      </c>
    </row>
    <row r="7" spans="1:75" ht="10.7" customHeight="1">
      <c r="A7" s="255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55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55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55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55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7" customHeight="1">
      <c r="A8" s="350" t="s">
        <v>192</v>
      </c>
      <c r="B8" s="315">
        <v>70.510000000000005</v>
      </c>
      <c r="C8" s="315">
        <v>79.22</v>
      </c>
      <c r="D8" s="315">
        <v>71.17</v>
      </c>
      <c r="E8" s="315">
        <v>74.150000000000006</v>
      </c>
      <c r="F8" s="315">
        <v>188.78</v>
      </c>
      <c r="G8" s="315">
        <v>196.65</v>
      </c>
      <c r="H8" s="315">
        <v>71.12</v>
      </c>
      <c r="I8" s="315">
        <v>76.41</v>
      </c>
      <c r="J8" s="315">
        <v>10.74</v>
      </c>
      <c r="K8" s="315">
        <v>11.46</v>
      </c>
      <c r="L8" s="315">
        <v>13.03</v>
      </c>
      <c r="M8" s="315">
        <v>14.35</v>
      </c>
      <c r="N8" s="315">
        <v>97.14</v>
      </c>
      <c r="O8" s="315">
        <v>107.02</v>
      </c>
      <c r="P8" s="350" t="s">
        <v>192</v>
      </c>
      <c r="Q8" s="315">
        <v>9.15</v>
      </c>
      <c r="R8" s="315">
        <v>9.5299999999999994</v>
      </c>
      <c r="S8" s="315">
        <v>1.57</v>
      </c>
      <c r="T8" s="315">
        <v>1.66</v>
      </c>
      <c r="U8" s="315">
        <v>0.01</v>
      </c>
      <c r="V8" s="315">
        <v>0.01</v>
      </c>
      <c r="W8" s="315">
        <v>0.01</v>
      </c>
      <c r="X8" s="315">
        <v>0.01</v>
      </c>
      <c r="Y8" s="315">
        <v>0.86</v>
      </c>
      <c r="Z8" s="315">
        <v>0.92</v>
      </c>
      <c r="AA8" s="315">
        <v>253.51</v>
      </c>
      <c r="AB8" s="315">
        <v>270.16000000000003</v>
      </c>
      <c r="AC8" s="315">
        <v>23.09</v>
      </c>
      <c r="AD8" s="315">
        <v>24.56</v>
      </c>
      <c r="AE8" s="350" t="s">
        <v>192</v>
      </c>
      <c r="AF8" s="315">
        <v>11.09</v>
      </c>
      <c r="AG8" s="315">
        <v>11.55</v>
      </c>
      <c r="AH8" s="315">
        <v>0.98</v>
      </c>
      <c r="AI8" s="315">
        <v>1.03</v>
      </c>
      <c r="AJ8" s="315">
        <v>53.99</v>
      </c>
      <c r="AK8" s="315">
        <v>61.19</v>
      </c>
      <c r="AL8" s="315">
        <v>12.28</v>
      </c>
      <c r="AM8" s="315">
        <v>13.78</v>
      </c>
      <c r="AN8" s="315">
        <v>184.85</v>
      </c>
      <c r="AO8" s="315">
        <v>192.58</v>
      </c>
      <c r="AP8" s="315">
        <v>0.83</v>
      </c>
      <c r="AQ8" s="315">
        <v>0.86</v>
      </c>
      <c r="AR8" s="315">
        <v>1.62</v>
      </c>
      <c r="AS8" s="315">
        <v>1.71</v>
      </c>
      <c r="AT8" s="350" t="s">
        <v>192</v>
      </c>
      <c r="AU8" s="315">
        <v>19.55</v>
      </c>
      <c r="AV8" s="315">
        <v>20.36</v>
      </c>
      <c r="AW8" s="315">
        <v>2.41</v>
      </c>
      <c r="AX8" s="315">
        <v>2.65</v>
      </c>
      <c r="AY8" s="315">
        <v>18.98</v>
      </c>
      <c r="AZ8" s="315">
        <v>19.77</v>
      </c>
      <c r="BA8" s="315">
        <v>0.06</v>
      </c>
      <c r="BB8" s="315">
        <v>7.0000000000000007E-2</v>
      </c>
      <c r="BC8" s="315">
        <v>55.09</v>
      </c>
      <c r="BD8" s="315">
        <v>60.14</v>
      </c>
      <c r="BE8" s="315">
        <v>10.67</v>
      </c>
      <c r="BF8" s="315">
        <v>11.75</v>
      </c>
      <c r="BG8" s="315">
        <v>0.64</v>
      </c>
      <c r="BH8" s="315">
        <v>0.68</v>
      </c>
      <c r="BI8" s="350" t="s">
        <v>192</v>
      </c>
      <c r="BJ8" s="315">
        <v>74.92</v>
      </c>
      <c r="BK8" s="315">
        <v>88.84</v>
      </c>
      <c r="BL8" s="315">
        <v>1.52</v>
      </c>
      <c r="BM8" s="315">
        <v>1.56</v>
      </c>
      <c r="BN8" s="315">
        <v>110.89</v>
      </c>
      <c r="BO8" s="315">
        <v>118.42</v>
      </c>
      <c r="BP8" s="315">
        <v>2.33</v>
      </c>
      <c r="BQ8" s="315">
        <v>2.41</v>
      </c>
      <c r="BR8" s="315">
        <v>19.38</v>
      </c>
      <c r="BS8" s="315">
        <v>20.190000000000001</v>
      </c>
      <c r="BT8" s="315">
        <v>71.17</v>
      </c>
      <c r="BU8" s="315">
        <v>74.150000000000006</v>
      </c>
      <c r="BV8" s="315">
        <v>113.26</v>
      </c>
      <c r="BW8" s="315">
        <v>119.13</v>
      </c>
    </row>
    <row r="9" spans="1:75" ht="10.7" customHeight="1">
      <c r="A9" s="255" t="s">
        <v>757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55" t="s">
        <v>757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55" t="s">
        <v>757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55" t="s">
        <v>757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55" t="s">
        <v>757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7" customHeight="1">
      <c r="A10" s="350" t="s">
        <v>866</v>
      </c>
      <c r="B10" s="315">
        <v>82.13</v>
      </c>
      <c r="C10" s="315">
        <v>71.099999999999994</v>
      </c>
      <c r="D10" s="315">
        <v>79.930000000000007</v>
      </c>
      <c r="E10" s="315">
        <v>77.77</v>
      </c>
      <c r="F10" s="315">
        <v>212.02</v>
      </c>
      <c r="G10" s="315">
        <v>206.27</v>
      </c>
      <c r="H10" s="315">
        <v>79.62</v>
      </c>
      <c r="I10" s="315">
        <v>73.900000000000006</v>
      </c>
      <c r="J10" s="315">
        <v>12.72</v>
      </c>
      <c r="K10" s="315">
        <v>12.59</v>
      </c>
      <c r="L10" s="315">
        <v>13.87</v>
      </c>
      <c r="M10" s="315">
        <v>13.57</v>
      </c>
      <c r="N10" s="315">
        <v>103.37</v>
      </c>
      <c r="O10" s="315">
        <v>101.19</v>
      </c>
      <c r="P10" s="350" t="s">
        <v>866</v>
      </c>
      <c r="Q10" s="315">
        <v>10.31</v>
      </c>
      <c r="R10" s="315">
        <v>10.029999999999999</v>
      </c>
      <c r="S10" s="315">
        <v>1.46</v>
      </c>
      <c r="T10" s="315">
        <v>1.31</v>
      </c>
      <c r="U10" s="315">
        <v>0.01</v>
      </c>
      <c r="V10" s="315">
        <v>0.01</v>
      </c>
      <c r="W10" s="315">
        <v>0.01</v>
      </c>
      <c r="X10" s="315">
        <v>0.01</v>
      </c>
      <c r="Y10" s="315">
        <v>0.92</v>
      </c>
      <c r="Z10" s="315">
        <v>0.78</v>
      </c>
      <c r="AA10" s="315">
        <v>282.77999999999997</v>
      </c>
      <c r="AB10" s="315">
        <v>272.62</v>
      </c>
      <c r="AC10" s="315">
        <v>25.93</v>
      </c>
      <c r="AD10" s="315">
        <v>24.61</v>
      </c>
      <c r="AE10" s="350" t="s">
        <v>866</v>
      </c>
      <c r="AF10" s="315">
        <v>12.45</v>
      </c>
      <c r="AG10" s="315">
        <v>12.11</v>
      </c>
      <c r="AH10" s="315">
        <v>0.91</v>
      </c>
      <c r="AI10" s="315">
        <v>0.81</v>
      </c>
      <c r="AJ10" s="315">
        <v>65.7</v>
      </c>
      <c r="AK10" s="315">
        <v>60.24</v>
      </c>
      <c r="AL10" s="315">
        <v>13.88</v>
      </c>
      <c r="AM10" s="315">
        <v>12.81</v>
      </c>
      <c r="AN10" s="315">
        <v>207.59</v>
      </c>
      <c r="AO10" s="315">
        <v>201.99</v>
      </c>
      <c r="AP10" s="315">
        <v>0.83</v>
      </c>
      <c r="AQ10" s="315">
        <v>0.78</v>
      </c>
      <c r="AR10" s="315">
        <v>1.93</v>
      </c>
      <c r="AS10" s="315">
        <v>1.8</v>
      </c>
      <c r="AT10" s="350" t="s">
        <v>866</v>
      </c>
      <c r="AU10" s="315">
        <v>21.95</v>
      </c>
      <c r="AV10" s="315">
        <v>21.36</v>
      </c>
      <c r="AW10" s="315">
        <v>2.56</v>
      </c>
      <c r="AX10" s="315">
        <v>2.36</v>
      </c>
      <c r="AY10" s="315">
        <v>21.31</v>
      </c>
      <c r="AZ10" s="315">
        <v>20.74</v>
      </c>
      <c r="BA10" s="315">
        <v>7.0000000000000007E-2</v>
      </c>
      <c r="BB10" s="315">
        <v>7.0000000000000007E-2</v>
      </c>
      <c r="BC10" s="315">
        <v>64.540000000000006</v>
      </c>
      <c r="BD10" s="315">
        <v>61.36</v>
      </c>
      <c r="BE10" s="315">
        <v>12.12</v>
      </c>
      <c r="BF10" s="315">
        <v>11.6</v>
      </c>
      <c r="BG10" s="315">
        <v>0.62</v>
      </c>
      <c r="BH10" s="315">
        <v>0.6</v>
      </c>
      <c r="BI10" s="350" t="s">
        <v>866</v>
      </c>
      <c r="BJ10" s="315">
        <v>84.91</v>
      </c>
      <c r="BK10" s="315">
        <v>82.32</v>
      </c>
      <c r="BL10" s="315">
        <v>1.1200000000000001</v>
      </c>
      <c r="BM10" s="315">
        <v>0.77</v>
      </c>
      <c r="BN10" s="315">
        <v>121.56</v>
      </c>
      <c r="BO10" s="315">
        <v>116.96</v>
      </c>
      <c r="BP10" s="315">
        <v>2.63</v>
      </c>
      <c r="BQ10" s="315">
        <v>2.5</v>
      </c>
      <c r="BR10" s="315">
        <v>21.76</v>
      </c>
      <c r="BS10" s="315">
        <v>21.17</v>
      </c>
      <c r="BT10" s="315">
        <v>79.930000000000007</v>
      </c>
      <c r="BU10" s="315">
        <v>77.77</v>
      </c>
      <c r="BV10" s="315">
        <v>125.45</v>
      </c>
      <c r="BW10" s="315">
        <v>118.24</v>
      </c>
    </row>
    <row r="11" spans="1:75" s="149" customFormat="1" ht="10.7" customHeight="1">
      <c r="A11" s="630" t="s">
        <v>1051</v>
      </c>
      <c r="B11" s="351">
        <v>71.366500000000002</v>
      </c>
      <c r="C11" s="351">
        <v>73.17</v>
      </c>
      <c r="D11" s="351">
        <v>77.721800000000002</v>
      </c>
      <c r="E11" s="351">
        <v>77.63</v>
      </c>
      <c r="F11" s="351">
        <v>206.1584</v>
      </c>
      <c r="G11" s="351">
        <v>205.92</v>
      </c>
      <c r="H11" s="351">
        <v>72.688100000000006</v>
      </c>
      <c r="I11" s="351">
        <v>72.81</v>
      </c>
      <c r="J11" s="351">
        <v>12.6509</v>
      </c>
      <c r="K11" s="351">
        <v>12.62</v>
      </c>
      <c r="L11" s="351">
        <v>14.135199999999999</v>
      </c>
      <c r="M11" s="351">
        <v>14.21</v>
      </c>
      <c r="N11" s="351">
        <v>105.4555</v>
      </c>
      <c r="O11" s="351">
        <v>105.96</v>
      </c>
      <c r="P11" s="630" t="s">
        <v>1051</v>
      </c>
      <c r="Q11" s="351">
        <v>10.021800000000001</v>
      </c>
      <c r="R11" s="351">
        <v>10.02</v>
      </c>
      <c r="S11" s="351">
        <v>1.2666999999999999</v>
      </c>
      <c r="T11" s="351">
        <v>1.29</v>
      </c>
      <c r="U11" s="351">
        <v>6.7999999999999996E-3</v>
      </c>
      <c r="V11" s="351">
        <v>0.01</v>
      </c>
      <c r="W11" s="351">
        <v>3.0999999999999999E-3</v>
      </c>
      <c r="X11" s="351">
        <v>0</v>
      </c>
      <c r="Y11" s="351">
        <v>0.76949999999999996</v>
      </c>
      <c r="Z11" s="351">
        <v>0.77</v>
      </c>
      <c r="AA11" s="351">
        <v>274.81169999999997</v>
      </c>
      <c r="AB11" s="351">
        <v>275.48</v>
      </c>
      <c r="AC11" s="351">
        <v>23.951899999999998</v>
      </c>
      <c r="AD11" s="351">
        <v>24.19</v>
      </c>
      <c r="AE11" s="630" t="s">
        <v>1051</v>
      </c>
      <c r="AF11" s="351">
        <v>12.106199999999999</v>
      </c>
      <c r="AG11" s="351">
        <v>12.09</v>
      </c>
      <c r="AH11" s="351">
        <v>0.79120000000000001</v>
      </c>
      <c r="AI11" s="351">
        <v>0.81</v>
      </c>
      <c r="AJ11" s="351">
        <v>64.542199999999994</v>
      </c>
      <c r="AK11" s="351">
        <v>68.16</v>
      </c>
      <c r="AL11" s="351">
        <v>12.898300000000001</v>
      </c>
      <c r="AM11" s="351">
        <v>12.68</v>
      </c>
      <c r="AN11" s="351">
        <v>201.87649999999999</v>
      </c>
      <c r="AO11" s="351">
        <v>201.64</v>
      </c>
      <c r="AP11" s="351">
        <v>0.75619999999999998</v>
      </c>
      <c r="AQ11" s="351">
        <v>0.79</v>
      </c>
      <c r="AR11" s="351">
        <v>1.7890999999999999</v>
      </c>
      <c r="AS11" s="351">
        <v>1.78</v>
      </c>
      <c r="AT11" s="630" t="s">
        <v>1051</v>
      </c>
      <c r="AU11" s="351">
        <v>21.345800000000001</v>
      </c>
      <c r="AV11" s="351">
        <v>21.32</v>
      </c>
      <c r="AW11" s="351">
        <v>2.3018000000000001</v>
      </c>
      <c r="AX11" s="351">
        <v>2.2999999999999998</v>
      </c>
      <c r="AY11" s="351">
        <v>20.723500000000001</v>
      </c>
      <c r="AZ11" s="351">
        <v>20.7</v>
      </c>
      <c r="BA11" s="351">
        <v>7.3099999999999998E-2</v>
      </c>
      <c r="BB11" s="351">
        <v>0.08</v>
      </c>
      <c r="BC11" s="351">
        <v>61.703600000000002</v>
      </c>
      <c r="BD11" s="351">
        <v>62.12</v>
      </c>
      <c r="BE11" s="351">
        <v>11.901199999999999</v>
      </c>
      <c r="BF11" s="351">
        <v>11.52</v>
      </c>
      <c r="BG11" s="351">
        <v>0.5927</v>
      </c>
      <c r="BH11" s="351">
        <v>0.6</v>
      </c>
      <c r="BI11" s="630" t="s">
        <v>1051</v>
      </c>
      <c r="BJ11" s="351">
        <v>85.985900000000001</v>
      </c>
      <c r="BK11" s="351">
        <v>87.15</v>
      </c>
      <c r="BL11" s="351">
        <v>0.57769999999999999</v>
      </c>
      <c r="BM11" s="351">
        <v>0.52</v>
      </c>
      <c r="BN11" s="351">
        <v>119.22799999999999</v>
      </c>
      <c r="BO11" s="351">
        <v>119.87</v>
      </c>
      <c r="BP11" s="351">
        <v>2.4632000000000001</v>
      </c>
      <c r="BQ11" s="351">
        <v>2.39</v>
      </c>
      <c r="BR11" s="351">
        <v>21.160299999999999</v>
      </c>
      <c r="BS11" s="351">
        <v>21.14</v>
      </c>
      <c r="BT11" s="351">
        <v>77.721800000000002</v>
      </c>
      <c r="BU11" s="351">
        <v>77.63</v>
      </c>
      <c r="BV11" s="351">
        <v>126.401</v>
      </c>
      <c r="BW11" s="351">
        <v>132.24</v>
      </c>
    </row>
    <row r="12" spans="1:75" s="30" customFormat="1" ht="10.7" customHeight="1">
      <c r="A12" s="516" t="s">
        <v>1105</v>
      </c>
      <c r="B12" s="392">
        <v>65.014200000000002</v>
      </c>
      <c r="C12" s="392">
        <v>59.81</v>
      </c>
      <c r="D12" s="392">
        <v>77.674599999999998</v>
      </c>
      <c r="E12" s="392">
        <v>77.81</v>
      </c>
      <c r="F12" s="392">
        <v>206.0292</v>
      </c>
      <c r="G12" s="392">
        <v>206.35</v>
      </c>
      <c r="H12" s="392">
        <v>66.458699999999993</v>
      </c>
      <c r="I12" s="392">
        <v>62.78</v>
      </c>
      <c r="J12" s="392">
        <v>12.6549</v>
      </c>
      <c r="K12" s="392">
        <v>12.73</v>
      </c>
      <c r="L12" s="392">
        <v>12.5419</v>
      </c>
      <c r="M12" s="392">
        <v>11.72</v>
      </c>
      <c r="N12" s="392">
        <v>93.459400000000002</v>
      </c>
      <c r="O12" s="392">
        <v>87.43</v>
      </c>
      <c r="P12" s="516" t="s">
        <v>1105</v>
      </c>
      <c r="Q12" s="392">
        <v>10.017799999999999</v>
      </c>
      <c r="R12" s="392">
        <v>10.039999999999999</v>
      </c>
      <c r="S12" s="392">
        <v>1.2528999999999999</v>
      </c>
      <c r="T12" s="392">
        <v>1.22</v>
      </c>
      <c r="U12" s="392">
        <v>6.1999999999999998E-3</v>
      </c>
      <c r="V12" s="392">
        <v>0.01</v>
      </c>
      <c r="W12" s="392">
        <v>2.8E-3</v>
      </c>
      <c r="X12" s="392">
        <v>0</v>
      </c>
      <c r="Y12" s="392">
        <v>0.6804</v>
      </c>
      <c r="Z12" s="392">
        <v>0.63</v>
      </c>
      <c r="AA12" s="392">
        <v>265.0548</v>
      </c>
      <c r="AB12" s="392">
        <v>257.42</v>
      </c>
      <c r="AC12" s="392">
        <v>22.543600000000001</v>
      </c>
      <c r="AD12" s="392">
        <v>20.55</v>
      </c>
      <c r="AE12" s="516" t="s">
        <v>1105</v>
      </c>
      <c r="AF12" s="392">
        <v>7.5800000000000006E-2</v>
      </c>
      <c r="AG12" s="392">
        <v>7.0000000000000007E-2</v>
      </c>
      <c r="AH12" s="392">
        <v>0.78300000000000003</v>
      </c>
      <c r="AI12" s="392">
        <v>0.76</v>
      </c>
      <c r="AJ12" s="392">
        <v>60.438099999999999</v>
      </c>
      <c r="AK12" s="392">
        <v>53.34</v>
      </c>
      <c r="AL12" s="392">
        <v>10.959300000000001</v>
      </c>
      <c r="AM12" s="392">
        <v>9.9</v>
      </c>
      <c r="AN12" s="392">
        <v>201.7544</v>
      </c>
      <c r="AO12" s="392">
        <v>202.12</v>
      </c>
      <c r="AP12" s="392">
        <v>0.76639999999999997</v>
      </c>
      <c r="AQ12" s="392">
        <v>0.76</v>
      </c>
      <c r="AR12" s="392">
        <v>1.7483</v>
      </c>
      <c r="AS12" s="392">
        <v>1.72</v>
      </c>
      <c r="AT12" s="516" t="s">
        <v>1105</v>
      </c>
      <c r="AU12" s="392">
        <v>21.332699999999999</v>
      </c>
      <c r="AV12" s="392">
        <v>21.37</v>
      </c>
      <c r="AW12" s="392">
        <v>1.6351</v>
      </c>
      <c r="AX12" s="392">
        <v>1.4</v>
      </c>
      <c r="AY12" s="392">
        <v>20.705300000000001</v>
      </c>
      <c r="AZ12" s="392">
        <v>20.74</v>
      </c>
      <c r="BA12" s="392">
        <v>7.2099999999999997E-2</v>
      </c>
      <c r="BB12" s="392">
        <v>7.0000000000000007E-2</v>
      </c>
      <c r="BC12" s="392">
        <v>59.317100000000003</v>
      </c>
      <c r="BD12" s="392">
        <v>57.8</v>
      </c>
      <c r="BE12" s="392">
        <v>10.058400000000001</v>
      </c>
      <c r="BF12" s="392">
        <v>9.44</v>
      </c>
      <c r="BG12" s="392">
        <v>0.58940000000000003</v>
      </c>
      <c r="BH12" s="392">
        <v>0.57999999999999996</v>
      </c>
      <c r="BI12" s="516" t="s">
        <v>1105</v>
      </c>
      <c r="BJ12" s="392">
        <v>82.442999999999998</v>
      </c>
      <c r="BK12" s="392">
        <v>84.03</v>
      </c>
      <c r="BL12" s="392">
        <v>0.43109999999999998</v>
      </c>
      <c r="BM12" s="392">
        <v>0.36</v>
      </c>
      <c r="BN12" s="392">
        <v>112.64660000000001</v>
      </c>
      <c r="BO12" s="392">
        <v>109.18</v>
      </c>
      <c r="BP12" s="392">
        <v>2.3778999999999999</v>
      </c>
      <c r="BQ12" s="392">
        <v>2.2999999999999998</v>
      </c>
      <c r="BR12" s="392">
        <v>21.147400000000001</v>
      </c>
      <c r="BS12" s="392">
        <v>21.18</v>
      </c>
      <c r="BT12" s="392">
        <v>77.674599999999998</v>
      </c>
      <c r="BU12" s="392">
        <v>77.81</v>
      </c>
      <c r="BV12" s="392">
        <v>122.4104</v>
      </c>
      <c r="BW12" s="392">
        <v>122.42</v>
      </c>
    </row>
    <row r="13" spans="1:75" s="268" customFormat="1" ht="10.7" customHeight="1">
      <c r="A13" s="521" t="s">
        <v>1231</v>
      </c>
      <c r="B13" s="378">
        <v>57.023499999999999</v>
      </c>
      <c r="C13" s="378">
        <v>58.42</v>
      </c>
      <c r="D13" s="378">
        <v>78.2637</v>
      </c>
      <c r="E13" s="378">
        <v>78.400000000000006</v>
      </c>
      <c r="F13" s="378">
        <v>207.56620000000001</v>
      </c>
      <c r="G13" s="378">
        <v>207.76</v>
      </c>
      <c r="H13" s="378">
        <v>59.080199999999998</v>
      </c>
      <c r="I13" s="378">
        <v>60.63</v>
      </c>
      <c r="J13" s="378">
        <v>12.1837</v>
      </c>
      <c r="K13" s="378">
        <v>11.82</v>
      </c>
      <c r="L13" s="378">
        <v>11.653600000000001</v>
      </c>
      <c r="M13" s="378">
        <v>11.73</v>
      </c>
      <c r="N13" s="378">
        <v>86.882900000000006</v>
      </c>
      <c r="O13" s="378">
        <v>87.21</v>
      </c>
      <c r="P13" s="521" t="s">
        <v>1231</v>
      </c>
      <c r="Q13" s="378">
        <v>10.0863</v>
      </c>
      <c r="R13" s="378">
        <v>10.1</v>
      </c>
      <c r="S13" s="378">
        <v>1.1812</v>
      </c>
      <c r="T13" s="378">
        <v>1.1599999999999999</v>
      </c>
      <c r="U13" s="378">
        <v>5.7999999999999996E-3</v>
      </c>
      <c r="V13" s="378">
        <v>0.01</v>
      </c>
      <c r="W13" s="378">
        <v>2.5999999999999999E-3</v>
      </c>
      <c r="X13" s="378">
        <v>0</v>
      </c>
      <c r="Y13" s="378">
        <v>0.67200000000000004</v>
      </c>
      <c r="Z13" s="378">
        <v>0.76</v>
      </c>
      <c r="AA13" s="378">
        <v>258.94290000000001</v>
      </c>
      <c r="AB13" s="378">
        <v>259.52</v>
      </c>
      <c r="AC13" s="378">
        <v>18.955200000000001</v>
      </c>
      <c r="AD13" s="378">
        <v>19.5</v>
      </c>
      <c r="AE13" s="521" t="s">
        <v>1231</v>
      </c>
      <c r="AF13" s="378">
        <v>6.3100000000000003E-2</v>
      </c>
      <c r="AG13" s="378">
        <v>7.0000000000000007E-2</v>
      </c>
      <c r="AH13" s="378">
        <v>0.73850000000000005</v>
      </c>
      <c r="AI13" s="378">
        <v>0.72</v>
      </c>
      <c r="AJ13" s="378">
        <v>52.3</v>
      </c>
      <c r="AK13" s="378">
        <v>55.76</v>
      </c>
      <c r="AL13" s="378">
        <v>9.3177000000000003</v>
      </c>
      <c r="AM13" s="378">
        <v>9.34</v>
      </c>
      <c r="AN13" s="378">
        <v>203.2773</v>
      </c>
      <c r="AO13" s="378">
        <v>203.63</v>
      </c>
      <c r="AP13" s="378">
        <v>0.75029999999999997</v>
      </c>
      <c r="AQ13" s="378">
        <v>0.75</v>
      </c>
      <c r="AR13" s="378">
        <v>1.6767000000000001</v>
      </c>
      <c r="AS13" s="378">
        <v>1.67</v>
      </c>
      <c r="AT13" s="521" t="s">
        <v>1231</v>
      </c>
      <c r="AU13" s="378">
        <v>21.494900000000001</v>
      </c>
      <c r="AV13" s="378">
        <v>21.53</v>
      </c>
      <c r="AW13" s="378">
        <v>1.1691</v>
      </c>
      <c r="AX13" s="378">
        <v>1.22</v>
      </c>
      <c r="AY13" s="378">
        <v>20.8674</v>
      </c>
      <c r="AZ13" s="378">
        <v>20.9</v>
      </c>
      <c r="BA13" s="378">
        <v>6.6699999999999995E-2</v>
      </c>
      <c r="BB13" s="378">
        <v>7.0000000000000007E-2</v>
      </c>
      <c r="BC13" s="378">
        <v>56.334699999999998</v>
      </c>
      <c r="BD13" s="378">
        <v>58.16</v>
      </c>
      <c r="BE13" s="378">
        <v>9.3073999999999995</v>
      </c>
      <c r="BF13" s="378">
        <v>9.25</v>
      </c>
      <c r="BG13" s="378">
        <v>0.55110000000000003</v>
      </c>
      <c r="BH13" s="378">
        <v>0.54</v>
      </c>
      <c r="BI13" s="521" t="s">
        <v>1231</v>
      </c>
      <c r="BJ13" s="378">
        <v>79.908100000000005</v>
      </c>
      <c r="BK13" s="378">
        <v>80.02</v>
      </c>
      <c r="BL13" s="378">
        <v>0.35630000000000001</v>
      </c>
      <c r="BM13" s="378">
        <v>0.36</v>
      </c>
      <c r="BN13" s="378">
        <v>109.4175</v>
      </c>
      <c r="BO13" s="378">
        <v>109.44</v>
      </c>
      <c r="BP13" s="378">
        <v>2.2054999999999998</v>
      </c>
      <c r="BQ13" s="378">
        <v>2.2200000000000002</v>
      </c>
      <c r="BR13" s="378">
        <v>21.308199999999999</v>
      </c>
      <c r="BS13" s="378">
        <v>21.35</v>
      </c>
      <c r="BT13" s="378">
        <v>78.2637</v>
      </c>
      <c r="BU13" s="378">
        <v>78.400000000000006</v>
      </c>
      <c r="BV13" s="378">
        <v>116.15600000000001</v>
      </c>
      <c r="BW13" s="378">
        <v>105.25</v>
      </c>
    </row>
    <row r="14" spans="1:75" s="268" customFormat="1" ht="10.7" customHeight="1">
      <c r="A14" s="516" t="s">
        <v>1263</v>
      </c>
      <c r="B14" s="392">
        <v>59.658900000000003</v>
      </c>
      <c r="C14" s="392">
        <v>61.93</v>
      </c>
      <c r="D14" s="392">
        <v>79.119200000000006</v>
      </c>
      <c r="E14" s="392">
        <v>80.599999999999994</v>
      </c>
      <c r="F14" s="392">
        <v>209.82980000000001</v>
      </c>
      <c r="G14" s="392">
        <v>213.64</v>
      </c>
      <c r="H14" s="392">
        <v>59.645600000000002</v>
      </c>
      <c r="I14" s="392">
        <v>61.98</v>
      </c>
      <c r="J14" s="392">
        <v>11.6242</v>
      </c>
      <c r="K14" s="392">
        <v>11.9</v>
      </c>
      <c r="L14" s="392">
        <v>11.596</v>
      </c>
      <c r="M14" s="392">
        <v>12.4</v>
      </c>
      <c r="N14" s="392">
        <v>86.2637</v>
      </c>
      <c r="O14" s="392">
        <v>92.21</v>
      </c>
      <c r="P14" s="516" t="s">
        <v>1263</v>
      </c>
      <c r="Q14" s="392">
        <v>10.189</v>
      </c>
      <c r="R14" s="392">
        <v>10.33</v>
      </c>
      <c r="S14" s="392">
        <v>1.1911</v>
      </c>
      <c r="T14" s="392">
        <v>1.25</v>
      </c>
      <c r="U14" s="392">
        <v>6.0000000000000001E-3</v>
      </c>
      <c r="V14" s="392">
        <v>0.01</v>
      </c>
      <c r="W14" s="392">
        <v>2.5000000000000001E-3</v>
      </c>
      <c r="X14" s="392">
        <v>0</v>
      </c>
      <c r="Y14" s="392">
        <v>0.7268</v>
      </c>
      <c r="Z14" s="392">
        <v>0.72</v>
      </c>
      <c r="AA14" s="392">
        <v>260.45460000000003</v>
      </c>
      <c r="AB14" s="392">
        <v>265.73</v>
      </c>
      <c r="AC14" s="392">
        <v>18.4786</v>
      </c>
      <c r="AD14" s="392">
        <v>18.77</v>
      </c>
      <c r="AE14" s="516" t="s">
        <v>1263</v>
      </c>
      <c r="AF14" s="392">
        <v>6.0699999999999997E-2</v>
      </c>
      <c r="AG14" s="392">
        <v>0.06</v>
      </c>
      <c r="AH14" s="392">
        <v>0.74399999999999999</v>
      </c>
      <c r="AI14" s="392">
        <v>0.78</v>
      </c>
      <c r="AJ14" s="392">
        <v>56.3782</v>
      </c>
      <c r="AK14" s="392">
        <v>58.84</v>
      </c>
      <c r="AL14" s="392">
        <v>9.4036000000000008</v>
      </c>
      <c r="AM14" s="392">
        <v>9.61</v>
      </c>
      <c r="AN14" s="392">
        <v>205.4922</v>
      </c>
      <c r="AO14" s="392">
        <v>209.23</v>
      </c>
      <c r="AP14" s="392">
        <v>0.75529999999999997</v>
      </c>
      <c r="AQ14" s="392">
        <v>0.77</v>
      </c>
      <c r="AR14" s="392">
        <v>1.6155999999999999</v>
      </c>
      <c r="AS14" s="392">
        <v>1.6</v>
      </c>
      <c r="AT14" s="516" t="s">
        <v>1263</v>
      </c>
      <c r="AU14" s="392">
        <v>21.713799999999999</v>
      </c>
      <c r="AV14" s="392">
        <v>21.58</v>
      </c>
      <c r="AW14" s="392">
        <v>1.3027</v>
      </c>
      <c r="AX14" s="392">
        <v>1.36</v>
      </c>
      <c r="AY14" s="392">
        <v>21.095400000000001</v>
      </c>
      <c r="AZ14" s="392">
        <v>21.49</v>
      </c>
      <c r="BA14" s="392">
        <v>6.9400000000000003E-2</v>
      </c>
      <c r="BB14" s="392">
        <v>7.0000000000000007E-2</v>
      </c>
      <c r="BC14" s="392">
        <v>56.838999999999999</v>
      </c>
      <c r="BD14" s="392">
        <v>58.43</v>
      </c>
      <c r="BE14" s="392">
        <v>8.9743999999999993</v>
      </c>
      <c r="BF14" s="392">
        <v>9.52</v>
      </c>
      <c r="BG14" s="392">
        <v>0.53</v>
      </c>
      <c r="BH14" s="392">
        <v>0.52</v>
      </c>
      <c r="BI14" s="516" t="s">
        <v>1263</v>
      </c>
      <c r="BJ14" s="392">
        <v>79.829700000000003</v>
      </c>
      <c r="BK14" s="392">
        <v>84.32</v>
      </c>
      <c r="BL14" s="392">
        <v>0.2079</v>
      </c>
      <c r="BM14" s="392">
        <v>0.16</v>
      </c>
      <c r="BN14" s="392">
        <v>108.5568</v>
      </c>
      <c r="BO14" s="392">
        <v>112.08</v>
      </c>
      <c r="BP14" s="392">
        <v>2.2667000000000002</v>
      </c>
      <c r="BQ14" s="392">
        <v>2.37</v>
      </c>
      <c r="BR14" s="392">
        <v>21.540900000000001</v>
      </c>
      <c r="BS14" s="392">
        <v>21.94</v>
      </c>
      <c r="BT14" s="392">
        <v>79.119200000000006</v>
      </c>
      <c r="BU14" s="392">
        <v>80.599999999999994</v>
      </c>
      <c r="BV14" s="392">
        <v>100.3793</v>
      </c>
      <c r="BW14" s="392">
        <v>104.82</v>
      </c>
    </row>
    <row r="15" spans="1:75" s="268" customFormat="1" ht="10.7" customHeight="1">
      <c r="A15" s="521" t="s">
        <v>1392</v>
      </c>
      <c r="B15" s="378">
        <v>63.658630000000002</v>
      </c>
      <c r="C15" s="378">
        <v>61.58</v>
      </c>
      <c r="D15" s="378">
        <v>82.100874000000005</v>
      </c>
      <c r="E15" s="378">
        <v>83.73</v>
      </c>
      <c r="F15" s="378">
        <v>217.64671100000001</v>
      </c>
      <c r="G15" s="378">
        <v>221.47</v>
      </c>
      <c r="H15" s="378">
        <v>64.688146000000003</v>
      </c>
      <c r="I15" s="378">
        <v>63.21</v>
      </c>
      <c r="J15" s="378">
        <v>12.660601</v>
      </c>
      <c r="K15" s="378">
        <v>12.65</v>
      </c>
      <c r="L15" s="378">
        <v>13.163303000000001</v>
      </c>
      <c r="M15" s="378">
        <v>13</v>
      </c>
      <c r="N15" s="378">
        <v>97.992005000000006</v>
      </c>
      <c r="O15" s="378">
        <v>96.86</v>
      </c>
      <c r="P15" s="521" t="s">
        <v>1392</v>
      </c>
      <c r="Q15" s="378">
        <v>10.493054000000001</v>
      </c>
      <c r="R15" s="378">
        <v>10.67</v>
      </c>
      <c r="S15" s="378">
        <v>1.2622720000000001</v>
      </c>
      <c r="T15" s="378">
        <v>1.22</v>
      </c>
      <c r="U15" s="378">
        <v>6.0390000000000001E-3</v>
      </c>
      <c r="V15" s="378">
        <v>0.01</v>
      </c>
      <c r="W15" s="378">
        <v>2.258E-3</v>
      </c>
      <c r="X15" s="378">
        <v>0</v>
      </c>
      <c r="Y15" s="378">
        <v>0.74442600000000003</v>
      </c>
      <c r="Z15" s="378">
        <v>0.76</v>
      </c>
      <c r="AA15" s="378">
        <v>272.38111300000003</v>
      </c>
      <c r="AB15" s="378">
        <v>276.82</v>
      </c>
      <c r="AC15" s="378">
        <v>20.178184999999999</v>
      </c>
      <c r="AD15" s="378">
        <v>20.74</v>
      </c>
      <c r="AE15" s="521" t="s">
        <v>1392</v>
      </c>
      <c r="AF15" s="378">
        <v>6.0657999999999997E-2</v>
      </c>
      <c r="AG15" s="378">
        <v>0.06</v>
      </c>
      <c r="AH15" s="378">
        <v>0.78928299999999996</v>
      </c>
      <c r="AI15" s="378">
        <v>0.77</v>
      </c>
      <c r="AJ15" s="378">
        <v>58.730638999999996</v>
      </c>
      <c r="AK15" s="378">
        <v>56.56</v>
      </c>
      <c r="AL15" s="378">
        <v>10.272456</v>
      </c>
      <c r="AM15" s="378">
        <v>10.220000000000001</v>
      </c>
      <c r="AN15" s="378">
        <v>213.226247</v>
      </c>
      <c r="AO15" s="378">
        <v>217.47</v>
      </c>
      <c r="AP15" s="378">
        <v>0.74837200000000004</v>
      </c>
      <c r="AQ15" s="378">
        <v>0.69</v>
      </c>
      <c r="AR15" s="378">
        <v>1.597353</v>
      </c>
      <c r="AS15" s="378">
        <v>1.57</v>
      </c>
      <c r="AT15" s="521" t="s">
        <v>1392</v>
      </c>
      <c r="AU15" s="576">
        <v>22.433156</v>
      </c>
      <c r="AV15" s="378">
        <v>23</v>
      </c>
      <c r="AW15" s="378">
        <v>1.392849</v>
      </c>
      <c r="AX15" s="378">
        <v>1.33</v>
      </c>
      <c r="AY15" s="378">
        <v>21.892281000000001</v>
      </c>
      <c r="AZ15" s="378">
        <v>22.32</v>
      </c>
      <c r="BA15" s="378">
        <v>7.4847999999999998E-2</v>
      </c>
      <c r="BB15" s="378">
        <v>0.08</v>
      </c>
      <c r="BC15" s="378">
        <v>61.194586000000001</v>
      </c>
      <c r="BD15" s="378">
        <v>61.21</v>
      </c>
      <c r="BE15" s="378">
        <v>9.896687</v>
      </c>
      <c r="BF15" s="378">
        <v>9.34</v>
      </c>
      <c r="BG15" s="378">
        <v>0.53053300000000003</v>
      </c>
      <c r="BH15" s="378">
        <v>0.53</v>
      </c>
      <c r="BI15" s="521" t="s">
        <v>1392</v>
      </c>
      <c r="BJ15" s="378">
        <v>84.626541000000003</v>
      </c>
      <c r="BK15" s="378">
        <v>83.94</v>
      </c>
      <c r="BL15" s="378">
        <v>0.159326</v>
      </c>
      <c r="BM15" s="378">
        <v>0.16</v>
      </c>
      <c r="BN15" s="378">
        <v>116.904573</v>
      </c>
      <c r="BO15" s="378">
        <v>117.62</v>
      </c>
      <c r="BP15" s="378">
        <v>2.5323829999999998</v>
      </c>
      <c r="BQ15" s="378">
        <v>2.5299999999999998</v>
      </c>
      <c r="BR15" s="378">
        <v>22.35247</v>
      </c>
      <c r="BS15" s="378">
        <v>22.79</v>
      </c>
      <c r="BT15" s="378">
        <v>82.100874000000005</v>
      </c>
      <c r="BU15" s="378">
        <v>83.73</v>
      </c>
      <c r="BV15" s="378">
        <v>110.612995</v>
      </c>
      <c r="BW15" s="378">
        <v>109.5</v>
      </c>
    </row>
    <row r="16" spans="1:75" s="268" customFormat="1" ht="10.7" customHeight="1">
      <c r="A16" s="603" t="s">
        <v>1511</v>
      </c>
      <c r="B16" s="392">
        <v>60.13044</v>
      </c>
      <c r="C16" s="392">
        <v>59.32</v>
      </c>
      <c r="D16" s="392">
        <v>84.026285999999999</v>
      </c>
      <c r="E16" s="392">
        <v>84.5</v>
      </c>
      <c r="F16" s="392">
        <v>222.77708799999999</v>
      </c>
      <c r="G16" s="392">
        <v>224.14</v>
      </c>
      <c r="H16" s="392">
        <v>63.498502999999999</v>
      </c>
      <c r="I16" s="392">
        <v>64.540000000000006</v>
      </c>
      <c r="J16" s="392">
        <v>12.329136</v>
      </c>
      <c r="K16" s="392">
        <v>12.29</v>
      </c>
      <c r="L16" s="392">
        <v>12.848271</v>
      </c>
      <c r="M16" s="392">
        <v>12.87</v>
      </c>
      <c r="N16" s="392">
        <v>95.877876000000001</v>
      </c>
      <c r="O16" s="392">
        <v>96.08</v>
      </c>
      <c r="P16" s="603" t="s">
        <v>1511</v>
      </c>
      <c r="Q16" s="392">
        <v>10.717393</v>
      </c>
      <c r="R16" s="392">
        <v>10.82</v>
      </c>
      <c r="S16" s="392">
        <v>1.1916819999999999</v>
      </c>
      <c r="T16" s="392">
        <v>1.23</v>
      </c>
      <c r="U16" s="392">
        <v>5.8180000000000003E-3</v>
      </c>
      <c r="V16" s="392">
        <v>0.01</v>
      </c>
      <c r="W16" s="392">
        <v>1.9940000000000001E-3</v>
      </c>
      <c r="X16" s="392">
        <v>0</v>
      </c>
      <c r="Y16" s="392">
        <v>0.75638300000000003</v>
      </c>
      <c r="Z16" s="392">
        <v>0.78</v>
      </c>
      <c r="AA16" s="392">
        <v>276.78387400000003</v>
      </c>
      <c r="AB16" s="392">
        <v>278.45999999999998</v>
      </c>
      <c r="AC16" s="392">
        <v>20.365683000000001</v>
      </c>
      <c r="AD16" s="392">
        <v>20.45</v>
      </c>
      <c r="AE16" s="603" t="s">
        <v>1511</v>
      </c>
      <c r="AF16" s="392">
        <v>5.4908999999999999E-2</v>
      </c>
      <c r="AG16" s="392">
        <v>0.06</v>
      </c>
      <c r="AH16" s="392">
        <v>0.738479</v>
      </c>
      <c r="AI16" s="392">
        <v>0.74</v>
      </c>
      <c r="AJ16" s="392">
        <v>56.357278000000001</v>
      </c>
      <c r="AK16" s="392">
        <v>56.78</v>
      </c>
      <c r="AL16" s="392">
        <v>9.9208660000000002</v>
      </c>
      <c r="AM16" s="392">
        <v>9.9</v>
      </c>
      <c r="AN16" s="392">
        <v>218.257195</v>
      </c>
      <c r="AO16" s="392">
        <v>219.48</v>
      </c>
      <c r="AP16" s="392">
        <v>0.61963699999999999</v>
      </c>
      <c r="AQ16" s="392">
        <v>0.52</v>
      </c>
      <c r="AR16" s="392">
        <v>1.5919129999999999</v>
      </c>
      <c r="AS16" s="392">
        <v>1.65</v>
      </c>
      <c r="AT16" s="603" t="s">
        <v>1511</v>
      </c>
      <c r="AU16" s="462">
        <v>23.075112000000001</v>
      </c>
      <c r="AV16" s="392">
        <v>23.21</v>
      </c>
      <c r="AW16" s="392">
        <v>1.2804949999999999</v>
      </c>
      <c r="AX16" s="392">
        <v>1.34</v>
      </c>
      <c r="AY16" s="392">
        <v>22.402844999999999</v>
      </c>
      <c r="AZ16" s="392">
        <v>22.53</v>
      </c>
      <c r="BA16" s="392">
        <v>7.4062000000000003E-2</v>
      </c>
      <c r="BB16" s="392">
        <v>7.0000000000000007E-2</v>
      </c>
      <c r="BC16" s="392">
        <v>61.545448</v>
      </c>
      <c r="BD16" s="392">
        <v>62.47</v>
      </c>
      <c r="BE16" s="392">
        <v>9.1900670000000009</v>
      </c>
      <c r="BF16" s="392">
        <v>9.1</v>
      </c>
      <c r="BG16" s="392">
        <v>0.48621799999999998</v>
      </c>
      <c r="BH16" s="392">
        <v>0.48</v>
      </c>
      <c r="BI16" s="580" t="s">
        <v>1511</v>
      </c>
      <c r="BJ16" s="392">
        <v>84.462277</v>
      </c>
      <c r="BK16" s="392">
        <v>86.56</v>
      </c>
      <c r="BL16" s="392">
        <v>0.16306300000000001</v>
      </c>
      <c r="BM16" s="392">
        <v>0.16</v>
      </c>
      <c r="BN16" s="392">
        <v>116.893812</v>
      </c>
      <c r="BO16" s="392">
        <v>117.48</v>
      </c>
      <c r="BP16" s="392">
        <v>2.6052249999999999</v>
      </c>
      <c r="BQ16" s="392">
        <v>2.75</v>
      </c>
      <c r="BR16" s="392">
        <v>22.875958000000001</v>
      </c>
      <c r="BS16" s="392">
        <v>23</v>
      </c>
      <c r="BT16" s="392">
        <v>84.026285999999999</v>
      </c>
      <c r="BU16" s="392">
        <v>84.5</v>
      </c>
      <c r="BV16" s="392">
        <v>108.79983300000001</v>
      </c>
      <c r="BW16" s="392">
        <v>107.27</v>
      </c>
    </row>
    <row r="17" spans="1:75" s="180" customFormat="1" ht="10.7" customHeight="1">
      <c r="A17" s="561" t="s">
        <v>1602</v>
      </c>
      <c r="B17" s="624">
        <v>56.938333333333333</v>
      </c>
      <c r="C17" s="378">
        <v>58.28</v>
      </c>
      <c r="D17" s="624">
        <v>84.781146000000007</v>
      </c>
      <c r="E17" s="378">
        <v>84.9</v>
      </c>
      <c r="F17" s="624">
        <v>224.80451299999999</v>
      </c>
      <c r="G17" s="378">
        <v>224.84</v>
      </c>
      <c r="H17" s="378">
        <v>63.281075000000001</v>
      </c>
      <c r="I17" s="378">
        <v>62.16</v>
      </c>
      <c r="J17" s="624">
        <v>12.082319</v>
      </c>
      <c r="K17" s="378">
        <v>11.99</v>
      </c>
      <c r="L17" s="624">
        <v>12.557464</v>
      </c>
      <c r="M17" s="378">
        <v>12.81</v>
      </c>
      <c r="N17" s="624">
        <v>93.728005999999993</v>
      </c>
      <c r="O17" s="378">
        <v>95.44</v>
      </c>
      <c r="P17" s="561" t="s">
        <v>1602</v>
      </c>
      <c r="Q17" s="378">
        <v>10.875048</v>
      </c>
      <c r="R17" s="378">
        <v>10.95</v>
      </c>
      <c r="S17" s="378">
        <v>1.1732959999999999</v>
      </c>
      <c r="T17" s="378">
        <v>1.1200000000000001</v>
      </c>
      <c r="U17" s="378">
        <v>5.947E-3</v>
      </c>
      <c r="V17" s="378">
        <v>0.01</v>
      </c>
      <c r="W17" s="378">
        <v>2.019E-3</v>
      </c>
      <c r="X17" s="378">
        <v>0</v>
      </c>
      <c r="Y17" s="378">
        <v>0.78395800000000004</v>
      </c>
      <c r="Z17" s="378">
        <v>0.79</v>
      </c>
      <c r="AA17" s="378">
        <v>277.50460600000002</v>
      </c>
      <c r="AB17" s="378">
        <v>275.87</v>
      </c>
      <c r="AC17" s="378">
        <v>20.179838</v>
      </c>
      <c r="AD17" s="378">
        <v>19.84</v>
      </c>
      <c r="AE17" s="561" t="s">
        <v>1602</v>
      </c>
      <c r="AF17" s="378">
        <v>5.7696999999999998E-2</v>
      </c>
      <c r="AG17" s="378">
        <v>0.06</v>
      </c>
      <c r="AH17" s="378">
        <v>0.73525200000000002</v>
      </c>
      <c r="AI17" s="378">
        <v>0.74</v>
      </c>
      <c r="AJ17" s="378">
        <v>54.053877999999997</v>
      </c>
      <c r="AK17" s="378">
        <v>54.51</v>
      </c>
      <c r="AL17" s="378">
        <v>9.1142979999999998</v>
      </c>
      <c r="AM17" s="378">
        <v>8.7799999999999994</v>
      </c>
      <c r="AN17" s="378">
        <v>220.280869</v>
      </c>
      <c r="AO17" s="378">
        <v>220.52</v>
      </c>
      <c r="AP17" s="378">
        <v>0.53694600000000003</v>
      </c>
      <c r="AQ17" s="378">
        <v>0.51</v>
      </c>
      <c r="AR17" s="378">
        <v>1.6620809999999999</v>
      </c>
      <c r="AS17" s="378">
        <v>1.71</v>
      </c>
      <c r="AT17" s="561" t="s">
        <v>1602</v>
      </c>
      <c r="AU17" s="576">
        <v>23.267150999999998</v>
      </c>
      <c r="AV17" s="378">
        <v>23.32</v>
      </c>
      <c r="AW17" s="378">
        <v>1.2791429999999999</v>
      </c>
      <c r="AX17" s="378">
        <v>1.21</v>
      </c>
      <c r="AY17" s="378">
        <v>22.595566999999999</v>
      </c>
      <c r="AZ17" s="378">
        <v>22.63</v>
      </c>
      <c r="BA17" s="378">
        <v>7.0989999999999998E-2</v>
      </c>
      <c r="BB17" s="378">
        <v>7.0000000000000007E-2</v>
      </c>
      <c r="BC17" s="378">
        <v>61.346919</v>
      </c>
      <c r="BD17" s="378">
        <v>60.92</v>
      </c>
      <c r="BE17" s="378">
        <v>8.8075340000000004</v>
      </c>
      <c r="BF17" s="378">
        <v>9.1</v>
      </c>
      <c r="BG17" s="378">
        <v>0.46550399999999997</v>
      </c>
      <c r="BH17" s="378">
        <v>0.46</v>
      </c>
      <c r="BI17" s="577" t="s">
        <v>1602</v>
      </c>
      <c r="BJ17" s="624">
        <v>86.748475999999997</v>
      </c>
      <c r="BK17" s="378">
        <v>89.24</v>
      </c>
      <c r="BL17" s="624">
        <v>0.180815</v>
      </c>
      <c r="BM17" s="378">
        <v>0.17</v>
      </c>
      <c r="BN17" s="624">
        <v>116.43907</v>
      </c>
      <c r="BO17" s="378">
        <v>117.14</v>
      </c>
      <c r="BP17" s="624">
        <v>2.7366299999999999</v>
      </c>
      <c r="BQ17" s="378">
        <v>2.75</v>
      </c>
      <c r="BR17" s="624">
        <v>23.081669999999999</v>
      </c>
      <c r="BS17" s="378">
        <v>23.11</v>
      </c>
      <c r="BT17" s="624">
        <v>84.781146000000007</v>
      </c>
      <c r="BU17" s="378">
        <v>84.9</v>
      </c>
      <c r="BV17" s="624">
        <v>106.809804</v>
      </c>
      <c r="BW17" s="378">
        <v>104.41</v>
      </c>
    </row>
    <row r="18" spans="1:75" s="180" customFormat="1" ht="10.7" customHeight="1">
      <c r="A18" s="640" t="s">
        <v>1668</v>
      </c>
      <c r="B18" s="1048">
        <v>63.341738999999997</v>
      </c>
      <c r="C18" s="1048">
        <v>63.71</v>
      </c>
      <c r="D18" s="1048">
        <v>84.806312000000005</v>
      </c>
      <c r="E18" s="1049">
        <v>84.81</v>
      </c>
      <c r="F18" s="1048">
        <v>224.924701</v>
      </c>
      <c r="G18" s="1049">
        <v>224.97</v>
      </c>
      <c r="H18" s="1048">
        <v>66.165549999999996</v>
      </c>
      <c r="I18" s="1048">
        <v>68.39</v>
      </c>
      <c r="J18" s="1048">
        <v>12.812291999999999</v>
      </c>
      <c r="K18" s="1048">
        <v>13.13</v>
      </c>
      <c r="L18" s="1048">
        <v>13.594389</v>
      </c>
      <c r="M18" s="1048">
        <v>13.57</v>
      </c>
      <c r="N18" s="1048">
        <v>101.153004</v>
      </c>
      <c r="O18" s="1048">
        <v>100.9</v>
      </c>
      <c r="P18" s="640" t="s">
        <v>1668</v>
      </c>
      <c r="Q18" s="568">
        <v>10.933994999999999</v>
      </c>
      <c r="R18" s="568">
        <v>10.92</v>
      </c>
      <c r="S18" s="568">
        <v>1.150649</v>
      </c>
      <c r="T18" s="568">
        <v>1.1399999999999999</v>
      </c>
      <c r="U18" s="568">
        <v>5.8910000000000004E-3</v>
      </c>
      <c r="V18" s="568">
        <v>0.01</v>
      </c>
      <c r="W18" s="568">
        <v>2.019E-3</v>
      </c>
      <c r="X18" s="568">
        <v>0</v>
      </c>
      <c r="Y18" s="568">
        <v>0.79669900000000005</v>
      </c>
      <c r="Z18" s="568">
        <v>0.77</v>
      </c>
      <c r="AA18" s="568">
        <v>279.00494600000002</v>
      </c>
      <c r="AB18" s="568">
        <v>281.68</v>
      </c>
      <c r="AC18" s="568">
        <v>20.559958000000002</v>
      </c>
      <c r="AD18" s="568">
        <v>20.420000000000002</v>
      </c>
      <c r="AE18" s="640" t="s">
        <v>1668</v>
      </c>
      <c r="AF18" s="568">
        <v>6.0921000000000003E-2</v>
      </c>
      <c r="AG18" s="568">
        <v>0.05</v>
      </c>
      <c r="AH18" s="568">
        <v>0.76285199999999997</v>
      </c>
      <c r="AI18" s="568">
        <v>0.77</v>
      </c>
      <c r="AJ18" s="568">
        <v>58.96931</v>
      </c>
      <c r="AK18" s="568">
        <v>59.29</v>
      </c>
      <c r="AL18" s="568">
        <v>9.6923999999999992</v>
      </c>
      <c r="AM18" s="568">
        <v>9.9</v>
      </c>
      <c r="AN18" s="568">
        <v>220.282085</v>
      </c>
      <c r="AO18" s="568">
        <v>220.29</v>
      </c>
      <c r="AP18" s="568">
        <v>0.52952200000000005</v>
      </c>
      <c r="AQ18" s="568">
        <v>0.54</v>
      </c>
      <c r="AR18" s="568">
        <v>1.751452</v>
      </c>
      <c r="AS18" s="568">
        <v>1.74</v>
      </c>
      <c r="AT18" s="640" t="s">
        <v>1668</v>
      </c>
      <c r="AU18" s="641">
        <v>23.249677999999999</v>
      </c>
      <c r="AV18" s="568">
        <v>22.91</v>
      </c>
      <c r="AW18" s="568">
        <v>1.13683</v>
      </c>
      <c r="AX18" s="568">
        <v>1.1599999999999999</v>
      </c>
      <c r="AY18" s="568">
        <v>22.610361999999999</v>
      </c>
      <c r="AZ18" s="568">
        <v>22.61</v>
      </c>
      <c r="BA18" s="568">
        <v>7.4756000000000003E-2</v>
      </c>
      <c r="BB18" s="568">
        <v>0.08</v>
      </c>
      <c r="BC18" s="568">
        <v>62.987192999999998</v>
      </c>
      <c r="BD18" s="568">
        <v>63.04</v>
      </c>
      <c r="BE18" s="568">
        <v>9.8980940000000004</v>
      </c>
      <c r="BF18" s="568">
        <v>9.9499999999999993</v>
      </c>
      <c r="BG18" s="568">
        <v>0.44517299999999999</v>
      </c>
      <c r="BH18" s="568">
        <v>0.43</v>
      </c>
      <c r="BI18" s="640" t="s">
        <v>1668</v>
      </c>
      <c r="BJ18" s="1048">
        <v>93.197113000000002</v>
      </c>
      <c r="BK18" s="568">
        <v>92.11</v>
      </c>
      <c r="BL18" s="1048">
        <v>6.0878000000000002E-2</v>
      </c>
      <c r="BM18" s="568">
        <v>0.03</v>
      </c>
      <c r="BN18" s="1048">
        <v>120.843248</v>
      </c>
      <c r="BO18" s="568">
        <v>121.01</v>
      </c>
      <c r="BP18" s="1048">
        <v>2.7461980000000001</v>
      </c>
      <c r="BQ18" s="568">
        <v>2.65</v>
      </c>
      <c r="BR18" s="1048">
        <v>23.088276</v>
      </c>
      <c r="BS18" s="568">
        <v>23.09</v>
      </c>
      <c r="BT18" s="1048">
        <v>84.806312000000005</v>
      </c>
      <c r="BU18" s="568">
        <v>84.81</v>
      </c>
      <c r="BV18" s="1048">
        <v>114.20348300000001</v>
      </c>
      <c r="BW18" s="568">
        <v>117.36</v>
      </c>
    </row>
    <row r="19" spans="1:75" s="180" customFormat="1" ht="10.7" customHeight="1">
      <c r="A19" s="588" t="s">
        <v>2018</v>
      </c>
      <c r="B19" s="719">
        <v>62.632107885953701</v>
      </c>
      <c r="C19" s="719">
        <f>C31</f>
        <v>64.312288642109806</v>
      </c>
      <c r="D19" s="719">
        <v>86.300625801282095</v>
      </c>
      <c r="E19" s="1310">
        <f>E31</f>
        <v>93.45</v>
      </c>
      <c r="F19" s="719">
        <v>228.90339795048399</v>
      </c>
      <c r="G19" s="719">
        <f>G31</f>
        <v>247.87798408488101</v>
      </c>
      <c r="H19" s="719">
        <v>68.192807053052405</v>
      </c>
      <c r="I19" s="719">
        <f t="shared" ref="I19" si="0">I31</f>
        <v>72.4811913441402</v>
      </c>
      <c r="J19" s="719">
        <v>13.3677632698337</v>
      </c>
      <c r="K19" s="719">
        <f>K31</f>
        <v>13.924069493697299</v>
      </c>
      <c r="L19" s="719">
        <v>13.0828722420963</v>
      </c>
      <c r="M19" s="719">
        <f>M31</f>
        <v>13.1145010314776</v>
      </c>
      <c r="N19" s="719">
        <v>97.316128944854796</v>
      </c>
      <c r="O19" s="719">
        <f>O31</f>
        <v>97.571141419883105</v>
      </c>
      <c r="P19" s="588" t="s">
        <v>2018</v>
      </c>
      <c r="Q19" s="642">
        <v>11.057872111094801</v>
      </c>
      <c r="R19" s="642">
        <f>R31</f>
        <v>11.909465125466699</v>
      </c>
      <c r="S19" s="642">
        <v>1.1454707387132601</v>
      </c>
      <c r="T19" s="642">
        <f>T31</f>
        <v>1.1837355120653601</v>
      </c>
      <c r="U19" s="642">
        <v>5.9986516404194898E-3</v>
      </c>
      <c r="V19" s="642">
        <f>V31</f>
        <v>6.2791869645556896E-3</v>
      </c>
      <c r="W19" s="642">
        <v>2.0547768047924301E-3</v>
      </c>
      <c r="X19" s="642">
        <f>X31</f>
        <v>2.225E-3</v>
      </c>
      <c r="Y19" s="642">
        <v>0.73792922776657999</v>
      </c>
      <c r="Z19" s="642">
        <f>Z31</f>
        <v>0.68413924374977098</v>
      </c>
      <c r="AA19" s="642">
        <v>284.79494477316598</v>
      </c>
      <c r="AB19" s="642">
        <f>AB31</f>
        <v>304.59582790091298</v>
      </c>
      <c r="AC19" s="642">
        <v>20.4044480830926</v>
      </c>
      <c r="AD19" s="642">
        <f>AD31</f>
        <v>21.209714026327699</v>
      </c>
      <c r="AE19" s="588" t="s">
        <v>2018</v>
      </c>
      <c r="AF19" s="642">
        <v>4.8513262948088498E-2</v>
      </c>
      <c r="AG19" s="642">
        <f>AG31</f>
        <v>5.0472589792060499E-2</v>
      </c>
      <c r="AH19" s="642">
        <v>0.75722637675896198</v>
      </c>
      <c r="AI19" s="642">
        <f>AI31</f>
        <v>0.78847119274724597</v>
      </c>
      <c r="AJ19" s="642">
        <v>58.7731230587749</v>
      </c>
      <c r="AK19" s="642">
        <f>AK31</f>
        <v>58.102537124246098</v>
      </c>
      <c r="AL19" s="642">
        <v>9.6705436584064195</v>
      </c>
      <c r="AM19" s="642">
        <f>AM31</f>
        <v>9.4238303408007997</v>
      </c>
      <c r="AN19" s="642">
        <v>224.15752312170301</v>
      </c>
      <c r="AO19" s="642">
        <f>AO31</f>
        <v>242.727272727273</v>
      </c>
      <c r="AP19" s="642">
        <v>0.48789368554130003</v>
      </c>
      <c r="AQ19" s="642">
        <f>AQ31</f>
        <v>0.45752753977968202</v>
      </c>
      <c r="AR19" s="642">
        <v>1.68568591537709</v>
      </c>
      <c r="AS19" s="642">
        <f>AS31</f>
        <v>1.7028061224489801</v>
      </c>
      <c r="AT19" s="588" t="s">
        <v>2018</v>
      </c>
      <c r="AU19" s="569">
        <v>23.6001978973406</v>
      </c>
      <c r="AV19" s="642">
        <f>AV31</f>
        <v>25.511875511875498</v>
      </c>
      <c r="AW19" s="642">
        <v>1.1694251333424299</v>
      </c>
      <c r="AX19" s="642">
        <f>AX31</f>
        <v>1.7690487458589701</v>
      </c>
      <c r="AY19" s="642">
        <v>23.005250020056899</v>
      </c>
      <c r="AZ19" s="642">
        <f>AZ31</f>
        <v>24.906052610538101</v>
      </c>
      <c r="BA19" s="642">
        <v>7.18486640819683E-2</v>
      </c>
      <c r="BB19" s="642">
        <f>BB31</f>
        <v>7.1928879310344807E-2</v>
      </c>
      <c r="BC19" s="642">
        <v>63.469752162503802</v>
      </c>
      <c r="BD19" s="642">
        <f>BD31</f>
        <v>67.0493273542601</v>
      </c>
      <c r="BE19" s="642">
        <v>9.4821334587212203</v>
      </c>
      <c r="BF19" s="642">
        <f>BF31</f>
        <v>9.1328886608517195</v>
      </c>
      <c r="BG19" s="642">
        <v>0.37657004942998001</v>
      </c>
      <c r="BH19" s="642">
        <f>BH31</f>
        <v>0.25886426592797801</v>
      </c>
      <c r="BI19" s="588" t="s">
        <v>2018</v>
      </c>
      <c r="BJ19" s="719">
        <v>92.631618793016997</v>
      </c>
      <c r="BK19" s="642">
        <f>BK31</f>
        <v>97.827793771264098</v>
      </c>
      <c r="BL19" s="719">
        <v>3.43529430421185E-2</v>
      </c>
      <c r="BM19" s="642">
        <f>BM31</f>
        <v>3.7194029850746303E-2</v>
      </c>
      <c r="BN19" s="719">
        <v>120.167964158673</v>
      </c>
      <c r="BO19" s="642">
        <f>BO31</f>
        <v>124.08710662594601</v>
      </c>
      <c r="BP19" s="719">
        <v>2.5815933240538902</v>
      </c>
      <c r="BQ19" s="642">
        <f>BQ31</f>
        <v>2.6476838079048002</v>
      </c>
      <c r="BR19" s="719">
        <v>23.495424609959599</v>
      </c>
      <c r="BS19" s="642">
        <f>BS31</f>
        <v>25.441724973455699</v>
      </c>
      <c r="BT19" s="719">
        <v>86.300625801282095</v>
      </c>
      <c r="BU19" s="642">
        <f>BU31</f>
        <v>93.45</v>
      </c>
      <c r="BV19" s="719">
        <v>114.891880227879</v>
      </c>
      <c r="BW19" s="642">
        <f>BW31</f>
        <v>113.326811917622</v>
      </c>
    </row>
    <row r="20" spans="1:75" s="180" customFormat="1" ht="10.7" customHeight="1">
      <c r="A20" s="580" t="s">
        <v>576</v>
      </c>
      <c r="B20" s="623">
        <v>63.12</v>
      </c>
      <c r="C20" s="623">
        <v>62.56</v>
      </c>
      <c r="D20" s="623">
        <v>84.8</v>
      </c>
      <c r="E20" s="623">
        <v>84.81</v>
      </c>
      <c r="F20" s="777">
        <v>224.93</v>
      </c>
      <c r="G20" s="623">
        <v>224.95</v>
      </c>
      <c r="H20" s="623">
        <v>67.81</v>
      </c>
      <c r="I20" s="623">
        <v>67.69</v>
      </c>
      <c r="J20" s="623">
        <v>13.1</v>
      </c>
      <c r="K20" s="623">
        <v>13.06</v>
      </c>
      <c r="L20" s="623">
        <v>13.48</v>
      </c>
      <c r="M20" s="623">
        <v>13.5</v>
      </c>
      <c r="N20" s="623">
        <v>100.25</v>
      </c>
      <c r="O20" s="623">
        <v>100.44</v>
      </c>
      <c r="P20" s="580" t="s">
        <v>576</v>
      </c>
      <c r="Q20" s="392">
        <v>10.92</v>
      </c>
      <c r="R20" s="392">
        <v>10.9</v>
      </c>
      <c r="S20" s="392">
        <v>1.1399999999999999</v>
      </c>
      <c r="T20" s="392">
        <v>1.1399999999999999</v>
      </c>
      <c r="U20" s="392">
        <v>0.01</v>
      </c>
      <c r="V20" s="392">
        <v>0.01</v>
      </c>
      <c r="W20" s="392">
        <v>0</v>
      </c>
      <c r="X20" s="392">
        <v>0</v>
      </c>
      <c r="Y20" s="392">
        <v>0.77</v>
      </c>
      <c r="Z20" s="392">
        <v>0.77</v>
      </c>
      <c r="AA20" s="392">
        <v>281.87</v>
      </c>
      <c r="AB20" s="392">
        <v>282.02999999999997</v>
      </c>
      <c r="AC20" s="392">
        <v>20.22</v>
      </c>
      <c r="AD20" s="392">
        <v>20.079999999999998</v>
      </c>
      <c r="AE20" s="580" t="s">
        <v>576</v>
      </c>
      <c r="AF20" s="392">
        <v>0.05</v>
      </c>
      <c r="AG20" s="392">
        <v>0.05</v>
      </c>
      <c r="AH20" s="392">
        <v>0.76</v>
      </c>
      <c r="AI20" s="392">
        <v>0.76</v>
      </c>
      <c r="AJ20" s="392">
        <v>59.34</v>
      </c>
      <c r="AK20" s="392">
        <v>58.94</v>
      </c>
      <c r="AL20" s="392">
        <v>9.69</v>
      </c>
      <c r="AM20" s="392">
        <v>9.6300000000000008</v>
      </c>
      <c r="AN20" s="392">
        <v>220.27</v>
      </c>
      <c r="AO20" s="392">
        <v>220.28</v>
      </c>
      <c r="AP20" s="392">
        <v>0.53</v>
      </c>
      <c r="AQ20" s="392">
        <v>0.52</v>
      </c>
      <c r="AR20" s="392">
        <v>1.7</v>
      </c>
      <c r="AS20" s="392">
        <v>1.68</v>
      </c>
      <c r="AT20" s="580" t="s">
        <v>576</v>
      </c>
      <c r="AU20" s="462">
        <v>23.12</v>
      </c>
      <c r="AV20" s="392">
        <v>23.29</v>
      </c>
      <c r="AW20" s="392">
        <v>1.1499999999999999</v>
      </c>
      <c r="AX20" s="392">
        <v>1.1499999999999999</v>
      </c>
      <c r="AY20" s="392">
        <v>22.61</v>
      </c>
      <c r="AZ20" s="392">
        <v>22.61</v>
      </c>
      <c r="BA20" s="392">
        <v>7.0000000000000007E-2</v>
      </c>
      <c r="BB20" s="392">
        <v>7.0000000000000007E-2</v>
      </c>
      <c r="BC20" s="392">
        <v>62.67</v>
      </c>
      <c r="BD20" s="392">
        <v>62.53</v>
      </c>
      <c r="BE20" s="392">
        <v>9.83</v>
      </c>
      <c r="BF20" s="392">
        <v>9.8800000000000008</v>
      </c>
      <c r="BG20" s="392">
        <v>0.43</v>
      </c>
      <c r="BH20" s="392">
        <v>0.43</v>
      </c>
      <c r="BI20" s="580" t="s">
        <v>576</v>
      </c>
      <c r="BJ20" s="623">
        <v>92.24</v>
      </c>
      <c r="BK20" s="623">
        <v>93.18</v>
      </c>
      <c r="BL20" s="777">
        <v>0.03</v>
      </c>
      <c r="BM20" s="777">
        <v>0.03</v>
      </c>
      <c r="BN20" s="623">
        <v>120.7</v>
      </c>
      <c r="BO20" s="623">
        <v>121.07</v>
      </c>
      <c r="BP20" s="623">
        <v>2.6</v>
      </c>
      <c r="BQ20" s="623">
        <v>2.58</v>
      </c>
      <c r="BR20" s="623">
        <v>23.09</v>
      </c>
      <c r="BS20" s="623">
        <v>23.09</v>
      </c>
      <c r="BT20" s="623">
        <v>84.8</v>
      </c>
      <c r="BU20" s="623">
        <v>84.81</v>
      </c>
      <c r="BV20" s="623">
        <v>117.2</v>
      </c>
      <c r="BW20" s="623">
        <v>117.88</v>
      </c>
    </row>
    <row r="21" spans="1:75" s="180" customFormat="1" ht="10.7" customHeight="1">
      <c r="A21" s="577" t="s">
        <v>577</v>
      </c>
      <c r="B21" s="624">
        <v>62.08</v>
      </c>
      <c r="C21" s="624">
        <v>62.17</v>
      </c>
      <c r="D21" s="624">
        <v>84.95</v>
      </c>
      <c r="E21" s="624">
        <v>85.2</v>
      </c>
      <c r="F21" s="804">
        <v>225.32</v>
      </c>
      <c r="G21" s="624">
        <v>225.99</v>
      </c>
      <c r="H21" s="624">
        <v>67.52</v>
      </c>
      <c r="I21" s="624">
        <v>67.599999999999994</v>
      </c>
      <c r="J21" s="624">
        <v>13.11</v>
      </c>
      <c r="K21" s="624">
        <v>13.17</v>
      </c>
      <c r="L21" s="624">
        <v>13.45</v>
      </c>
      <c r="M21" s="624">
        <v>13.52</v>
      </c>
      <c r="N21" s="624">
        <v>100.03</v>
      </c>
      <c r="O21" s="624">
        <v>100.51</v>
      </c>
      <c r="P21" s="577" t="s">
        <v>577</v>
      </c>
      <c r="Q21" s="378">
        <v>10.92</v>
      </c>
      <c r="R21" s="378">
        <v>10.94</v>
      </c>
      <c r="S21" s="378">
        <v>1.1499999999999999</v>
      </c>
      <c r="T21" s="378">
        <v>1.1599999999999999</v>
      </c>
      <c r="U21" s="378">
        <v>0.01</v>
      </c>
      <c r="V21" s="378">
        <v>0.01</v>
      </c>
      <c r="W21" s="378">
        <v>0</v>
      </c>
      <c r="X21" s="378">
        <v>0</v>
      </c>
      <c r="Y21" s="378">
        <v>0.77</v>
      </c>
      <c r="Z21" s="378">
        <v>0.78</v>
      </c>
      <c r="AA21" s="378">
        <v>282.44</v>
      </c>
      <c r="AB21" s="378">
        <v>283.24</v>
      </c>
      <c r="AC21" s="378">
        <v>20.13</v>
      </c>
      <c r="AD21" s="378">
        <v>20.5</v>
      </c>
      <c r="AE21" s="577" t="s">
        <v>577</v>
      </c>
      <c r="AF21" s="378">
        <v>0.05</v>
      </c>
      <c r="AG21" s="378">
        <v>0.05</v>
      </c>
      <c r="AH21" s="378">
        <v>0.76</v>
      </c>
      <c r="AI21" s="378">
        <v>0.76</v>
      </c>
      <c r="AJ21" s="378">
        <v>59.26</v>
      </c>
      <c r="AK21" s="378">
        <v>59.64</v>
      </c>
      <c r="AL21" s="378">
        <v>9.6</v>
      </c>
      <c r="AM21" s="378">
        <v>9.83</v>
      </c>
      <c r="AN21" s="378">
        <v>220.67</v>
      </c>
      <c r="AO21" s="378">
        <v>221.3</v>
      </c>
      <c r="AP21" s="378">
        <v>0.52</v>
      </c>
      <c r="AQ21" s="378">
        <v>0.51</v>
      </c>
      <c r="AR21" s="378">
        <v>1.69</v>
      </c>
      <c r="AS21" s="378">
        <v>1.71</v>
      </c>
      <c r="AT21" s="577" t="s">
        <v>577</v>
      </c>
      <c r="AU21" s="576">
        <v>23.14</v>
      </c>
      <c r="AV21" s="378">
        <v>23.06</v>
      </c>
      <c r="AW21" s="378">
        <v>1.1499999999999999</v>
      </c>
      <c r="AX21" s="378">
        <v>1.1599999999999999</v>
      </c>
      <c r="AY21" s="378">
        <v>22.65</v>
      </c>
      <c r="AZ21" s="378">
        <v>22.72</v>
      </c>
      <c r="BA21" s="378">
        <v>7.0000000000000007E-2</v>
      </c>
      <c r="BB21" s="378">
        <v>7.0000000000000007E-2</v>
      </c>
      <c r="BC21" s="378">
        <v>62.7</v>
      </c>
      <c r="BD21" s="378">
        <v>63.32</v>
      </c>
      <c r="BE21" s="378">
        <v>9.7899999999999991</v>
      </c>
      <c r="BF21" s="378">
        <v>9.89</v>
      </c>
      <c r="BG21" s="378">
        <v>0.43</v>
      </c>
      <c r="BH21" s="378">
        <v>0.43</v>
      </c>
      <c r="BI21" s="577" t="s">
        <v>577</v>
      </c>
      <c r="BJ21" s="624">
        <v>92.97</v>
      </c>
      <c r="BK21" s="624">
        <v>92.92</v>
      </c>
      <c r="BL21" s="804">
        <v>0.03</v>
      </c>
      <c r="BM21" s="804">
        <v>0.03</v>
      </c>
      <c r="BN21" s="624">
        <v>120.8</v>
      </c>
      <c r="BO21" s="624">
        <v>121.21</v>
      </c>
      <c r="BP21" s="624">
        <v>2.57</v>
      </c>
      <c r="BQ21" s="624">
        <v>2.63</v>
      </c>
      <c r="BR21" s="624">
        <v>23.13</v>
      </c>
      <c r="BS21" s="624">
        <v>23.2</v>
      </c>
      <c r="BT21" s="624">
        <v>84.95</v>
      </c>
      <c r="BU21" s="624">
        <v>85.2</v>
      </c>
      <c r="BV21" s="624">
        <v>117.32</v>
      </c>
      <c r="BW21" s="624">
        <v>117.24</v>
      </c>
    </row>
    <row r="22" spans="1:75" s="180" customFormat="1" ht="10.7" customHeight="1">
      <c r="A22" s="580" t="s">
        <v>571</v>
      </c>
      <c r="B22" s="623">
        <v>62.41</v>
      </c>
      <c r="C22" s="623">
        <v>61.37</v>
      </c>
      <c r="D22" s="623">
        <v>85.26</v>
      </c>
      <c r="E22" s="623">
        <v>85.5</v>
      </c>
      <c r="F22" s="777">
        <v>226.15</v>
      </c>
      <c r="G22" s="623">
        <v>226.79</v>
      </c>
      <c r="H22" s="623">
        <v>67.260000000000005</v>
      </c>
      <c r="I22" s="623">
        <v>67.03</v>
      </c>
      <c r="J22" s="623">
        <v>13.2</v>
      </c>
      <c r="K22" s="623">
        <v>13.18</v>
      </c>
      <c r="L22" s="623">
        <v>13.5</v>
      </c>
      <c r="M22" s="623">
        <v>13.33</v>
      </c>
      <c r="N22" s="623">
        <v>100.4</v>
      </c>
      <c r="O22" s="623">
        <v>99.15</v>
      </c>
      <c r="P22" s="580" t="s">
        <v>571</v>
      </c>
      <c r="Q22" s="392">
        <v>10.96</v>
      </c>
      <c r="R22" s="392">
        <v>10.98</v>
      </c>
      <c r="S22" s="392">
        <v>1.1599999999999999</v>
      </c>
      <c r="T22" s="392">
        <v>1.1499999999999999</v>
      </c>
      <c r="U22" s="392">
        <v>0.01</v>
      </c>
      <c r="V22" s="392">
        <v>0.01</v>
      </c>
      <c r="W22" s="392">
        <v>0</v>
      </c>
      <c r="X22" s="392">
        <v>0</v>
      </c>
      <c r="Y22" s="392">
        <v>0.77</v>
      </c>
      <c r="Z22" s="392">
        <v>0.76</v>
      </c>
      <c r="AA22" s="392">
        <v>283.38</v>
      </c>
      <c r="AB22" s="392">
        <v>283.44</v>
      </c>
      <c r="AC22" s="392">
        <v>20.47</v>
      </c>
      <c r="AD22" s="392">
        <v>20.420000000000002</v>
      </c>
      <c r="AE22" s="580" t="s">
        <v>571</v>
      </c>
      <c r="AF22" s="392">
        <v>0.05</v>
      </c>
      <c r="AG22" s="392">
        <v>0.05</v>
      </c>
      <c r="AH22" s="392">
        <v>0.77</v>
      </c>
      <c r="AI22" s="392">
        <v>0.76</v>
      </c>
      <c r="AJ22" s="392">
        <v>60.21</v>
      </c>
      <c r="AK22" s="392">
        <v>58.76</v>
      </c>
      <c r="AL22" s="392">
        <v>9.84</v>
      </c>
      <c r="AM22" s="392">
        <v>9.75</v>
      </c>
      <c r="AN22" s="392">
        <v>221.45</v>
      </c>
      <c r="AO22" s="392">
        <v>222.08</v>
      </c>
      <c r="AP22" s="392">
        <v>0.51</v>
      </c>
      <c r="AQ22" s="392">
        <v>0.5</v>
      </c>
      <c r="AR22" s="392">
        <v>1.7</v>
      </c>
      <c r="AS22" s="392">
        <v>1.68</v>
      </c>
      <c r="AT22" s="580" t="s">
        <v>571</v>
      </c>
      <c r="AU22" s="462">
        <v>23.32</v>
      </c>
      <c r="AV22" s="392">
        <v>23.3</v>
      </c>
      <c r="AW22" s="392">
        <v>1.17</v>
      </c>
      <c r="AX22" s="392">
        <v>1.18</v>
      </c>
      <c r="AY22" s="392">
        <v>22.73</v>
      </c>
      <c r="AZ22" s="392">
        <v>22.79</v>
      </c>
      <c r="BA22" s="392">
        <v>7.0000000000000007E-2</v>
      </c>
      <c r="BB22" s="392">
        <v>7.0000000000000007E-2</v>
      </c>
      <c r="BC22" s="392">
        <v>63.27</v>
      </c>
      <c r="BD22" s="392">
        <v>62.82</v>
      </c>
      <c r="BE22" s="392">
        <v>9.8699999999999992</v>
      </c>
      <c r="BF22" s="392">
        <v>9.7100000000000009</v>
      </c>
      <c r="BG22" s="392">
        <v>0.43</v>
      </c>
      <c r="BH22" s="392">
        <v>0.43</v>
      </c>
      <c r="BI22" s="580" t="s">
        <v>571</v>
      </c>
      <c r="BJ22" s="623">
        <v>92.46</v>
      </c>
      <c r="BK22" s="623">
        <v>91.45</v>
      </c>
      <c r="BL22" s="777">
        <v>0.03</v>
      </c>
      <c r="BM22" s="777">
        <v>0.03</v>
      </c>
      <c r="BN22" s="623">
        <v>121.23</v>
      </c>
      <c r="BO22" s="623">
        <v>120.87</v>
      </c>
      <c r="BP22" s="623">
        <v>2.58</v>
      </c>
      <c r="BQ22" s="623">
        <v>2.52</v>
      </c>
      <c r="BR22" s="623">
        <v>23.21</v>
      </c>
      <c r="BS22" s="623">
        <v>23.28</v>
      </c>
      <c r="BT22" s="623">
        <v>85.26</v>
      </c>
      <c r="BU22" s="623">
        <v>85.5</v>
      </c>
      <c r="BV22" s="623">
        <v>117.16</v>
      </c>
      <c r="BW22" s="623">
        <v>114.8</v>
      </c>
    </row>
    <row r="23" spans="1:75" s="180" customFormat="1" ht="10.7" customHeight="1">
      <c r="A23" s="577" t="s">
        <v>578</v>
      </c>
      <c r="B23" s="624">
        <v>63.25</v>
      </c>
      <c r="C23" s="624">
        <v>64.44</v>
      </c>
      <c r="D23" s="624">
        <v>85.61</v>
      </c>
      <c r="E23" s="624">
        <v>85.68</v>
      </c>
      <c r="F23" s="804">
        <v>227.09</v>
      </c>
      <c r="G23" s="624">
        <v>227.25</v>
      </c>
      <c r="H23" s="624">
        <v>68.72</v>
      </c>
      <c r="I23" s="624">
        <v>69.150000000000006</v>
      </c>
      <c r="J23" s="624">
        <v>13.3</v>
      </c>
      <c r="K23" s="624">
        <v>13.41</v>
      </c>
      <c r="L23" s="624">
        <v>13.35</v>
      </c>
      <c r="M23" s="624">
        <v>13.32</v>
      </c>
      <c r="N23" s="624">
        <v>99.29</v>
      </c>
      <c r="O23" s="624">
        <v>99.07</v>
      </c>
      <c r="P23" s="577" t="s">
        <v>578</v>
      </c>
      <c r="Q23" s="378">
        <v>11</v>
      </c>
      <c r="R23" s="378">
        <v>11.01</v>
      </c>
      <c r="S23" s="378">
        <v>1.1399999999999999</v>
      </c>
      <c r="T23" s="378">
        <v>1.1399999999999999</v>
      </c>
      <c r="U23" s="378">
        <v>0.01</v>
      </c>
      <c r="V23" s="378">
        <v>0.01</v>
      </c>
      <c r="W23" s="378">
        <v>0</v>
      </c>
      <c r="X23" s="378">
        <v>0</v>
      </c>
      <c r="Y23" s="378">
        <v>0.76</v>
      </c>
      <c r="Z23" s="378">
        <v>0.75</v>
      </c>
      <c r="AA23" s="378">
        <v>283.87</v>
      </c>
      <c r="AB23" s="378">
        <v>283.97000000000003</v>
      </c>
      <c r="AC23" s="378">
        <v>20.56</v>
      </c>
      <c r="AD23" s="378">
        <v>20.69</v>
      </c>
      <c r="AE23" s="577" t="s">
        <v>578</v>
      </c>
      <c r="AF23" s="378">
        <v>0.05</v>
      </c>
      <c r="AG23" s="378">
        <v>0.05</v>
      </c>
      <c r="AH23" s="378">
        <v>0.76</v>
      </c>
      <c r="AI23" s="378">
        <v>0.77</v>
      </c>
      <c r="AJ23" s="378">
        <v>60.28</v>
      </c>
      <c r="AK23" s="378">
        <v>61.39</v>
      </c>
      <c r="AL23" s="378">
        <v>10.1</v>
      </c>
      <c r="AM23" s="378">
        <v>10.15</v>
      </c>
      <c r="AN23" s="378">
        <v>222.37</v>
      </c>
      <c r="AO23" s="378">
        <v>222.53</v>
      </c>
      <c r="AP23" s="378">
        <v>0.5</v>
      </c>
      <c r="AQ23" s="378">
        <v>0.5</v>
      </c>
      <c r="AR23" s="378">
        <v>1.69</v>
      </c>
      <c r="AS23" s="378">
        <v>1.7</v>
      </c>
      <c r="AT23" s="577" t="s">
        <v>578</v>
      </c>
      <c r="AU23" s="576">
        <v>23.42</v>
      </c>
      <c r="AV23" s="378">
        <v>23.41</v>
      </c>
      <c r="AW23" s="378">
        <v>1.2</v>
      </c>
      <c r="AX23" s="378">
        <v>1.21</v>
      </c>
      <c r="AY23" s="378">
        <v>22.83</v>
      </c>
      <c r="AZ23" s="378">
        <v>22.84</v>
      </c>
      <c r="BA23" s="378">
        <v>7.0000000000000007E-2</v>
      </c>
      <c r="BB23" s="378">
        <v>7.0000000000000007E-2</v>
      </c>
      <c r="BC23" s="378">
        <v>63.32</v>
      </c>
      <c r="BD23" s="378">
        <v>63.51</v>
      </c>
      <c r="BE23" s="378">
        <v>9.8699999999999992</v>
      </c>
      <c r="BF23" s="378">
        <v>9.9700000000000006</v>
      </c>
      <c r="BG23" s="378">
        <v>0.43</v>
      </c>
      <c r="BH23" s="378">
        <v>0.43</v>
      </c>
      <c r="BI23" s="577" t="s">
        <v>578</v>
      </c>
      <c r="BJ23" s="624">
        <v>92.66</v>
      </c>
      <c r="BK23" s="624">
        <v>93.55</v>
      </c>
      <c r="BL23" s="804">
        <v>0.03</v>
      </c>
      <c r="BM23" s="804">
        <v>0.03</v>
      </c>
      <c r="BN23" s="624">
        <v>120.92</v>
      </c>
      <c r="BO23" s="624">
        <v>121.27</v>
      </c>
      <c r="BP23" s="624">
        <v>2.56</v>
      </c>
      <c r="BQ23" s="624">
        <v>2.57</v>
      </c>
      <c r="BR23" s="624">
        <v>23.31</v>
      </c>
      <c r="BS23" s="624">
        <v>23.33</v>
      </c>
      <c r="BT23" s="624">
        <v>85.61</v>
      </c>
      <c r="BU23" s="624">
        <v>85.68</v>
      </c>
      <c r="BV23" s="624">
        <v>117.06</v>
      </c>
      <c r="BW23" s="624">
        <v>117.31</v>
      </c>
    </row>
    <row r="24" spans="1:75" s="180" customFormat="1" ht="10.7" customHeight="1">
      <c r="A24" s="580" t="s">
        <v>579</v>
      </c>
      <c r="B24" s="623">
        <v>62.74</v>
      </c>
      <c r="C24" s="623">
        <v>61.29</v>
      </c>
      <c r="D24" s="623">
        <v>85.78</v>
      </c>
      <c r="E24" s="623">
        <v>85.8</v>
      </c>
      <c r="F24" s="777">
        <v>227.51</v>
      </c>
      <c r="G24" s="623">
        <v>227.56</v>
      </c>
      <c r="H24" s="623">
        <v>68.33</v>
      </c>
      <c r="I24" s="623">
        <v>67.34</v>
      </c>
      <c r="J24" s="623">
        <v>13.41</v>
      </c>
      <c r="K24" s="623">
        <v>13.45</v>
      </c>
      <c r="L24" s="623">
        <v>13.17</v>
      </c>
      <c r="M24" s="623">
        <v>13.03</v>
      </c>
      <c r="N24" s="623">
        <v>97.94</v>
      </c>
      <c r="O24" s="623">
        <v>96.89</v>
      </c>
      <c r="P24" s="580" t="s">
        <v>579</v>
      </c>
      <c r="Q24" s="392">
        <v>11.01</v>
      </c>
      <c r="R24" s="392">
        <v>11</v>
      </c>
      <c r="S24" s="392">
        <v>1.1499999999999999</v>
      </c>
      <c r="T24" s="392">
        <v>1.1399999999999999</v>
      </c>
      <c r="U24" s="392">
        <v>0.01</v>
      </c>
      <c r="V24" s="392">
        <v>0.01</v>
      </c>
      <c r="W24" s="392">
        <v>0</v>
      </c>
      <c r="X24" s="392">
        <v>0</v>
      </c>
      <c r="Y24" s="392">
        <v>0.75</v>
      </c>
      <c r="Z24" s="392">
        <v>0.76</v>
      </c>
      <c r="AA24" s="392">
        <v>283.75</v>
      </c>
      <c r="AB24" s="392">
        <v>283.45</v>
      </c>
      <c r="AC24" s="392">
        <v>20.53</v>
      </c>
      <c r="AD24" s="392">
        <v>20.3</v>
      </c>
      <c r="AE24" s="580" t="s">
        <v>579</v>
      </c>
      <c r="AF24" s="392">
        <v>0.05</v>
      </c>
      <c r="AG24" s="392">
        <v>0.05</v>
      </c>
      <c r="AH24" s="392">
        <v>0.76</v>
      </c>
      <c r="AI24" s="392">
        <v>0.76</v>
      </c>
      <c r="AJ24" s="392">
        <v>60.28</v>
      </c>
      <c r="AK24" s="392">
        <v>58.56</v>
      </c>
      <c r="AL24" s="392">
        <v>9.83</v>
      </c>
      <c r="AM24" s="392">
        <v>9.51</v>
      </c>
      <c r="AN24" s="392">
        <v>222.79</v>
      </c>
      <c r="AO24" s="392">
        <v>222.86</v>
      </c>
      <c r="AP24" s="392">
        <v>0.49</v>
      </c>
      <c r="AQ24" s="392">
        <v>0.49</v>
      </c>
      <c r="AR24" s="392">
        <v>1.7</v>
      </c>
      <c r="AS24" s="392">
        <v>1.71</v>
      </c>
      <c r="AT24" s="580" t="s">
        <v>579</v>
      </c>
      <c r="AU24" s="462">
        <v>23.49</v>
      </c>
      <c r="AV24" s="392">
        <v>23.38</v>
      </c>
      <c r="AW24" s="392">
        <v>1.18</v>
      </c>
      <c r="AX24" s="392">
        <v>1.1499999999999999</v>
      </c>
      <c r="AY24" s="392">
        <v>22.87</v>
      </c>
      <c r="AZ24" s="392">
        <v>22.87</v>
      </c>
      <c r="BA24" s="392">
        <v>7.0000000000000007E-2</v>
      </c>
      <c r="BB24" s="392">
        <v>7.0000000000000007E-2</v>
      </c>
      <c r="BC24" s="392">
        <v>63.23</v>
      </c>
      <c r="BD24" s="392">
        <v>62.67</v>
      </c>
      <c r="BE24" s="392">
        <v>9.75</v>
      </c>
      <c r="BF24" s="392">
        <v>9.4700000000000006</v>
      </c>
      <c r="BG24" s="392">
        <v>0.42</v>
      </c>
      <c r="BH24" s="392">
        <v>0.42</v>
      </c>
      <c r="BI24" s="580" t="s">
        <v>579</v>
      </c>
      <c r="BJ24" s="623">
        <v>93.06</v>
      </c>
      <c r="BK24" s="623">
        <v>92.94</v>
      </c>
      <c r="BL24" s="777">
        <v>0.03</v>
      </c>
      <c r="BM24" s="777">
        <v>0.03</v>
      </c>
      <c r="BN24" s="623">
        <v>120.38</v>
      </c>
      <c r="BO24" s="623">
        <v>119.95</v>
      </c>
      <c r="BP24" s="623">
        <v>2.59</v>
      </c>
      <c r="BQ24" s="623">
        <v>2.5499999999999998</v>
      </c>
      <c r="BR24" s="623">
        <v>23.35</v>
      </c>
      <c r="BS24" s="623">
        <v>23.36</v>
      </c>
      <c r="BT24" s="623">
        <v>85.78</v>
      </c>
      <c r="BU24" s="623">
        <v>85.8</v>
      </c>
      <c r="BV24" s="623">
        <v>115.55</v>
      </c>
      <c r="BW24" s="623">
        <v>114.24</v>
      </c>
    </row>
    <row r="25" spans="1:75" s="180" customFormat="1" ht="10.7" customHeight="1">
      <c r="A25" s="577" t="s">
        <v>572</v>
      </c>
      <c r="B25" s="624">
        <v>61.328725721822998</v>
      </c>
      <c r="C25" s="624">
        <v>62.196418816388501</v>
      </c>
      <c r="D25" s="624">
        <v>85.8</v>
      </c>
      <c r="E25" s="624">
        <v>85.8</v>
      </c>
      <c r="F25" s="624">
        <v>227.56832284082401</v>
      </c>
      <c r="G25" s="624">
        <v>227.55602705211501</v>
      </c>
      <c r="H25" s="624">
        <v>67.002243079860094</v>
      </c>
      <c r="I25" s="624">
        <v>67.083659108678603</v>
      </c>
      <c r="J25" s="624">
        <v>13.4711061456411</v>
      </c>
      <c r="K25" s="624">
        <v>13.474887709269099</v>
      </c>
      <c r="L25" s="624">
        <v>13.042506767065101</v>
      </c>
      <c r="M25" s="624">
        <v>13.0937392697722</v>
      </c>
      <c r="N25" s="624">
        <v>96.986569810415503</v>
      </c>
      <c r="O25" s="624">
        <v>97.382996976211402</v>
      </c>
      <c r="P25" s="577" t="s">
        <v>572</v>
      </c>
      <c r="Q25" s="378">
        <v>11.0018139881062</v>
      </c>
      <c r="R25" s="378">
        <v>11.0043029646208</v>
      </c>
      <c r="S25" s="378">
        <v>1.1379931534086101</v>
      </c>
      <c r="T25" s="378">
        <v>1.1505967547271001</v>
      </c>
      <c r="U25" s="378">
        <v>5.9892144427642199E-3</v>
      </c>
      <c r="V25" s="378">
        <v>6.0132459613834698E-3</v>
      </c>
      <c r="W25" s="378">
        <v>2.0428571428571401E-3</v>
      </c>
      <c r="X25" s="378">
        <v>2.0428571428571401E-3</v>
      </c>
      <c r="Y25" s="378">
        <v>0.75412890680837996</v>
      </c>
      <c r="Z25" s="378">
        <v>0.74637901787656002</v>
      </c>
      <c r="AA25" s="378">
        <v>283.37456888581801</v>
      </c>
      <c r="AB25" s="378">
        <v>283.54263053535999</v>
      </c>
      <c r="AC25" s="378">
        <v>20.373880112119</v>
      </c>
      <c r="AD25" s="378">
        <v>20.5730727730488</v>
      </c>
      <c r="AE25" s="577" t="s">
        <v>572</v>
      </c>
      <c r="AF25" s="378">
        <v>4.8188489008809003E-2</v>
      </c>
      <c r="AG25" s="378">
        <v>4.82564679415073E-2</v>
      </c>
      <c r="AH25" s="378">
        <v>0.75737068962959597</v>
      </c>
      <c r="AI25" s="378">
        <v>0.75821711167000405</v>
      </c>
      <c r="AJ25" s="378">
        <v>58.207033532336297</v>
      </c>
      <c r="AK25" s="378">
        <v>58.605689685967299</v>
      </c>
      <c r="AL25" s="378">
        <v>9.5566554256479002</v>
      </c>
      <c r="AM25" s="378">
        <v>9.7727661028532395</v>
      </c>
      <c r="AN25" s="378">
        <v>222.85607105240899</v>
      </c>
      <c r="AO25" s="378">
        <v>222.857142857143</v>
      </c>
      <c r="AP25" s="378">
        <v>0.48288178464144499</v>
      </c>
      <c r="AQ25" s="378">
        <v>0.48047039059218799</v>
      </c>
      <c r="AR25" s="378">
        <v>1.70489648346727</v>
      </c>
      <c r="AS25" s="378">
        <v>1.6810344827586201</v>
      </c>
      <c r="AT25" s="577" t="s">
        <v>572</v>
      </c>
      <c r="AU25" s="576">
        <v>23.5156918515823</v>
      </c>
      <c r="AV25" s="378">
        <v>23.564954682779501</v>
      </c>
      <c r="AW25" s="378">
        <v>1.16234117904117</v>
      </c>
      <c r="AX25" s="378">
        <v>1.1610661239336599</v>
      </c>
      <c r="AY25" s="378">
        <v>22.863610342125501</v>
      </c>
      <c r="AZ25" s="378">
        <v>22.855316258440901</v>
      </c>
      <c r="BA25" s="378">
        <v>7.2496641085004504E-2</v>
      </c>
      <c r="BB25" s="378">
        <v>7.2381852233039196E-2</v>
      </c>
      <c r="BC25" s="378">
        <v>62.909687516429003</v>
      </c>
      <c r="BD25" s="378">
        <v>63.445114060709102</v>
      </c>
      <c r="BE25" s="378">
        <v>9.4340687290291392</v>
      </c>
      <c r="BF25" s="378">
        <v>9.4974540624308208</v>
      </c>
      <c r="BG25" s="378">
        <v>0.423889246353708</v>
      </c>
      <c r="BH25" s="378">
        <v>0.42292051756007398</v>
      </c>
      <c r="BI25" s="577" t="s">
        <v>572</v>
      </c>
      <c r="BJ25" s="624">
        <v>93.183793440578299</v>
      </c>
      <c r="BK25" s="624">
        <v>93.806374022850306</v>
      </c>
      <c r="BL25" s="624">
        <v>3.4153786116203802E-2</v>
      </c>
      <c r="BM25" s="624">
        <v>3.4149253731343303E-2</v>
      </c>
      <c r="BN25" s="624">
        <v>119.97091966239999</v>
      </c>
      <c r="BO25" s="624">
        <v>120.08397480755799</v>
      </c>
      <c r="BP25" s="624">
        <v>2.5570487573448601</v>
      </c>
      <c r="BQ25" s="624">
        <v>2.5704014379868201</v>
      </c>
      <c r="BR25" s="624">
        <v>23.359227533976899</v>
      </c>
      <c r="BS25" s="624">
        <v>23.3593335239106</v>
      </c>
      <c r="BT25" s="624">
        <v>85.8</v>
      </c>
      <c r="BU25" s="624">
        <v>85.8</v>
      </c>
      <c r="BV25" s="624">
        <v>114.090957735914</v>
      </c>
      <c r="BW25" s="624">
        <v>115.727037455516</v>
      </c>
    </row>
    <row r="26" spans="1:75" s="180" customFormat="1" ht="10.7" customHeight="1">
      <c r="A26" s="580" t="s">
        <v>580</v>
      </c>
      <c r="B26" s="623">
        <v>61.753317276181598</v>
      </c>
      <c r="C26" s="623">
        <v>60.0881987691427</v>
      </c>
      <c r="D26" s="623">
        <v>85.953846153846101</v>
      </c>
      <c r="E26" s="623">
        <v>86</v>
      </c>
      <c r="F26" s="623">
        <v>227.990801339576</v>
      </c>
      <c r="G26" s="623">
        <v>228.08646068160701</v>
      </c>
      <c r="H26" s="623">
        <v>68.081787163064803</v>
      </c>
      <c r="I26" s="623">
        <v>67.379637246836694</v>
      </c>
      <c r="J26" s="623">
        <v>13.515027444808499</v>
      </c>
      <c r="K26" s="623">
        <v>13.4910425752204</v>
      </c>
      <c r="L26" s="623">
        <v>13.088637992906699</v>
      </c>
      <c r="M26" s="623">
        <v>12.8812899263819</v>
      </c>
      <c r="N26" s="623">
        <v>97.387050319347196</v>
      </c>
      <c r="O26" s="623">
        <v>95.846996913414102</v>
      </c>
      <c r="P26" s="580" t="s">
        <v>580</v>
      </c>
      <c r="Q26" s="392">
        <v>11.0315946968836</v>
      </c>
      <c r="R26" s="392">
        <v>11.036606885046</v>
      </c>
      <c r="S26" s="392">
        <v>1.1551676598526599</v>
      </c>
      <c r="T26" s="392">
        <v>1.1459592278366799</v>
      </c>
      <c r="U26" s="392">
        <v>5.9945641734144104E-3</v>
      </c>
      <c r="V26" s="392">
        <v>5.9726369886797699E-3</v>
      </c>
      <c r="W26" s="392">
        <v>2.0465201465201502E-3</v>
      </c>
      <c r="X26" s="392">
        <v>2.0476190476190499E-3</v>
      </c>
      <c r="Y26" s="392">
        <v>0.74841464820264503</v>
      </c>
      <c r="Z26" s="392">
        <v>0.74617153268838698</v>
      </c>
      <c r="AA26" s="392">
        <v>284.15247329758398</v>
      </c>
      <c r="AB26" s="392">
        <v>283.92208649719402</v>
      </c>
      <c r="AC26" s="392">
        <v>20.5216413403312</v>
      </c>
      <c r="AD26" s="392">
        <v>20.5299594175221</v>
      </c>
      <c r="AE26" s="580" t="s">
        <v>580</v>
      </c>
      <c r="AF26" s="392">
        <v>4.8342995587090098E-2</v>
      </c>
      <c r="AG26" s="392">
        <v>4.8368953880764898E-2</v>
      </c>
      <c r="AH26" s="392">
        <v>0.76006978200221598</v>
      </c>
      <c r="AI26" s="392">
        <v>0.75515171524809399</v>
      </c>
      <c r="AJ26" s="392">
        <v>58.050661585073698</v>
      </c>
      <c r="AK26" s="392">
        <v>56.209594736842099</v>
      </c>
      <c r="AL26" s="392">
        <v>9.7208371960653093</v>
      </c>
      <c r="AM26" s="392">
        <v>9.5678874994437297</v>
      </c>
      <c r="AN26" s="392">
        <v>223.25674325674299</v>
      </c>
      <c r="AO26" s="392">
        <v>223.376623376623</v>
      </c>
      <c r="AP26" s="392">
        <v>0.48715505068581999</v>
      </c>
      <c r="AQ26" s="392">
        <v>0.48656294200848599</v>
      </c>
      <c r="AR26" s="392">
        <v>1.6767712616480901</v>
      </c>
      <c r="AS26" s="392">
        <v>1.68034388432982</v>
      </c>
      <c r="AT26" s="580" t="s">
        <v>580</v>
      </c>
      <c r="AU26" s="462">
        <v>23.551012953537199</v>
      </c>
      <c r="AV26" s="392">
        <v>23.510114816839799</v>
      </c>
      <c r="AW26" s="392">
        <v>1.1241710751476299</v>
      </c>
      <c r="AX26" s="392">
        <v>1.10261216514566</v>
      </c>
      <c r="AY26" s="392">
        <v>22.9037594255764</v>
      </c>
      <c r="AZ26" s="392">
        <v>22.921719662037901</v>
      </c>
      <c r="BA26" s="392">
        <v>7.1885959982911599E-2</v>
      </c>
      <c r="BB26" s="392">
        <v>7.1034753340078902E-2</v>
      </c>
      <c r="BC26" s="392">
        <v>63.6538616442067</v>
      </c>
      <c r="BD26" s="392">
        <v>63.470976788811399</v>
      </c>
      <c r="BE26" s="392">
        <v>9.4086361979994297</v>
      </c>
      <c r="BF26" s="392">
        <v>9.1339234980802804</v>
      </c>
      <c r="BG26" s="392">
        <v>0.42461351331355901</v>
      </c>
      <c r="BH26" s="392">
        <v>0.424743795530312</v>
      </c>
      <c r="BI26" s="580" t="s">
        <v>580</v>
      </c>
      <c r="BJ26" s="623">
        <v>93.637183036430102</v>
      </c>
      <c r="BK26" s="623">
        <v>92.388677015630904</v>
      </c>
      <c r="BL26" s="623">
        <v>3.4216248426011897E-2</v>
      </c>
      <c r="BM26" s="623">
        <v>3.4228855721393003E-2</v>
      </c>
      <c r="BN26" s="623">
        <v>120.36604579191101</v>
      </c>
      <c r="BO26" s="623">
        <v>119.610570236439</v>
      </c>
      <c r="BP26" s="623">
        <v>2.5857703238708298</v>
      </c>
      <c r="BQ26" s="623">
        <v>2.5713858573777801</v>
      </c>
      <c r="BR26" s="623">
        <v>23.401304432980801</v>
      </c>
      <c r="BS26" s="623">
        <v>23.4137841848055</v>
      </c>
      <c r="BT26" s="623">
        <v>85.953846153846101</v>
      </c>
      <c r="BU26" s="623">
        <v>86</v>
      </c>
      <c r="BV26" s="623">
        <v>116.57339565952999</v>
      </c>
      <c r="BW26" s="623">
        <v>115.287298556563</v>
      </c>
    </row>
    <row r="27" spans="1:75" s="180" customFormat="1" ht="10.7" customHeight="1">
      <c r="A27" s="577" t="s">
        <v>581</v>
      </c>
      <c r="B27" s="624">
        <v>61.5919435954101</v>
      </c>
      <c r="C27" s="624">
        <v>62.2123952446779</v>
      </c>
      <c r="D27" s="624">
        <v>86</v>
      </c>
      <c r="E27" s="624">
        <v>86</v>
      </c>
      <c r="F27" s="624">
        <v>228.09906492899199</v>
      </c>
      <c r="G27" s="624">
        <v>228.11671087533199</v>
      </c>
      <c r="H27" s="624">
        <v>67.632467463752107</v>
      </c>
      <c r="I27" s="624">
        <v>67.676568955341295</v>
      </c>
      <c r="J27" s="624">
        <v>13.5398697330553</v>
      </c>
      <c r="K27" s="624">
        <v>13.602859764006199</v>
      </c>
      <c r="L27" s="624">
        <v>13.1116812389748</v>
      </c>
      <c r="M27" s="624">
        <v>13.0274409410054</v>
      </c>
      <c r="N27" s="624">
        <v>97.566280852092504</v>
      </c>
      <c r="O27" s="624">
        <v>96.913396947377706</v>
      </c>
      <c r="P27" s="577" t="s">
        <v>581</v>
      </c>
      <c r="Q27" s="378">
        <v>11.027888317854799</v>
      </c>
      <c r="R27" s="378">
        <v>11.0139916114366</v>
      </c>
      <c r="S27" s="378">
        <v>1.14869509190818</v>
      </c>
      <c r="T27" s="378">
        <v>1.14552114552115</v>
      </c>
      <c r="U27" s="378">
        <v>5.9921196826975597E-3</v>
      </c>
      <c r="V27" s="378">
        <v>5.9859400013920804E-3</v>
      </c>
      <c r="W27" s="378">
        <v>2.0476190476190499E-3</v>
      </c>
      <c r="X27" s="378">
        <v>2.0476190476190499E-3</v>
      </c>
      <c r="Y27" s="378">
        <v>0.74652504761614502</v>
      </c>
      <c r="Z27" s="378">
        <v>0.74410555916071797</v>
      </c>
      <c r="AA27" s="378">
        <v>284.33101932509101</v>
      </c>
      <c r="AB27" s="378">
        <v>283.64116094986798</v>
      </c>
      <c r="AC27" s="378">
        <v>20.534852532866601</v>
      </c>
      <c r="AD27" s="378">
        <v>20.464009518144</v>
      </c>
      <c r="AE27" s="577" t="s">
        <v>581</v>
      </c>
      <c r="AF27" s="378">
        <v>4.8367423748514202E-2</v>
      </c>
      <c r="AG27" s="378">
        <v>4.8364873604589E-2</v>
      </c>
      <c r="AH27" s="378">
        <v>0.76074260175237396</v>
      </c>
      <c r="AI27" s="378">
        <v>0.75705224980963703</v>
      </c>
      <c r="AJ27" s="378">
        <v>57.380807707941898</v>
      </c>
      <c r="AK27" s="378">
        <v>57.929594893111599</v>
      </c>
      <c r="AL27" s="378">
        <v>9.7001278227293106</v>
      </c>
      <c r="AM27" s="378">
        <v>9.7326905230755294</v>
      </c>
      <c r="AN27" s="378">
        <v>223.38025009151099</v>
      </c>
      <c r="AO27" s="378">
        <v>223.376623376623</v>
      </c>
      <c r="AP27" s="378">
        <v>0.48970361992714401</v>
      </c>
      <c r="AQ27" s="378">
        <v>0.48478015783540002</v>
      </c>
      <c r="AR27" s="378">
        <v>1.67674200825888</v>
      </c>
      <c r="AS27" s="378">
        <v>1.6725009723842901</v>
      </c>
      <c r="AT27" s="577" t="s">
        <v>581</v>
      </c>
      <c r="AU27" s="576">
        <v>23.543839153295</v>
      </c>
      <c r="AV27" s="378">
        <v>23.478023478023498</v>
      </c>
      <c r="AW27" s="378">
        <v>1.1013602575944199</v>
      </c>
      <c r="AX27" s="378">
        <v>0.81693913803421603</v>
      </c>
      <c r="AY27" s="378">
        <v>22.921961621430299</v>
      </c>
      <c r="AZ27" s="378">
        <v>22.922941599808102</v>
      </c>
      <c r="BA27" s="378">
        <v>7.1714335500047605E-2</v>
      </c>
      <c r="BB27" s="378">
        <v>7.1284404049948805E-2</v>
      </c>
      <c r="BC27" s="378">
        <v>63.8685063068014</v>
      </c>
      <c r="BD27" s="378">
        <v>63.531932183356098</v>
      </c>
      <c r="BE27" s="378">
        <v>9.2418982064033308</v>
      </c>
      <c r="BF27" s="378">
        <v>8.9776446209815894</v>
      </c>
      <c r="BG27" s="378">
        <v>0.42468979525670197</v>
      </c>
      <c r="BH27" s="378">
        <v>0.42574257425742601</v>
      </c>
      <c r="BI27" s="577" t="s">
        <v>581</v>
      </c>
      <c r="BJ27" s="624">
        <v>93.184477572593295</v>
      </c>
      <c r="BK27" s="624">
        <v>92.957898719126604</v>
      </c>
      <c r="BL27" s="624">
        <v>3.4232262933788199E-2</v>
      </c>
      <c r="BM27" s="624">
        <v>3.4228855721393003E-2</v>
      </c>
      <c r="BN27" s="624">
        <v>120.496944329174</v>
      </c>
      <c r="BO27" s="624">
        <v>119.910764082543</v>
      </c>
      <c r="BP27" s="624">
        <v>2.6328470382349298</v>
      </c>
      <c r="BQ27" s="624">
        <v>2.6247520219746701</v>
      </c>
      <c r="BR27" s="624">
        <v>23.413784185890201</v>
      </c>
      <c r="BS27" s="624">
        <v>23.41410291315</v>
      </c>
      <c r="BT27" s="624">
        <v>86</v>
      </c>
      <c r="BU27" s="624">
        <v>86</v>
      </c>
      <c r="BV27" s="624">
        <v>116.446863226703</v>
      </c>
      <c r="BW27" s="624">
        <v>115.300197434176</v>
      </c>
    </row>
    <row r="28" spans="1:75" s="180" customFormat="1" ht="10.7" customHeight="1">
      <c r="A28" s="580" t="s">
        <v>573</v>
      </c>
      <c r="B28" s="623">
        <v>63.326427803179897</v>
      </c>
      <c r="C28" s="623">
        <v>64.736198852197106</v>
      </c>
      <c r="D28" s="623">
        <v>86.059259259259207</v>
      </c>
      <c r="E28" s="623">
        <v>86.2</v>
      </c>
      <c r="F28" s="623">
        <v>228.26156005876999</v>
      </c>
      <c r="G28" s="623">
        <v>228.64721485411101</v>
      </c>
      <c r="H28" s="623">
        <v>67.945457343234494</v>
      </c>
      <c r="I28" s="623">
        <v>69.056679351091503</v>
      </c>
      <c r="J28" s="623">
        <v>13.560987028251599</v>
      </c>
      <c r="K28" s="623">
        <v>13.5786522163763</v>
      </c>
      <c r="L28" s="623">
        <v>12.738491422063801</v>
      </c>
      <c r="M28" s="623">
        <v>12.932651193494699</v>
      </c>
      <c r="N28" s="623">
        <v>94.772216151300796</v>
      </c>
      <c r="O28" s="623">
        <v>96.181956909840494</v>
      </c>
      <c r="P28" s="580" t="s">
        <v>573</v>
      </c>
      <c r="Q28" s="392">
        <v>11.000719262346401</v>
      </c>
      <c r="R28" s="392">
        <v>11.012807818838001</v>
      </c>
      <c r="S28" s="392">
        <v>1.12876149190102</v>
      </c>
      <c r="T28" s="392">
        <v>1.13685820925049</v>
      </c>
      <c r="U28" s="392">
        <v>5.9970902913321E-3</v>
      </c>
      <c r="V28" s="392">
        <v>6.0038307504788396E-3</v>
      </c>
      <c r="W28" s="392">
        <v>2.04902998236332E-3</v>
      </c>
      <c r="X28" s="392">
        <v>0</v>
      </c>
      <c r="Y28" s="392">
        <v>0.72774637370621997</v>
      </c>
      <c r="Z28" s="392">
        <v>0.70763042318269498</v>
      </c>
      <c r="AA28" s="392">
        <v>283.22280840298902</v>
      </c>
      <c r="AB28" s="392">
        <v>283.59927619674301</v>
      </c>
      <c r="AC28" s="392">
        <v>20.489801482291998</v>
      </c>
      <c r="AD28" s="392">
        <v>20.5018432631704</v>
      </c>
      <c r="AE28" s="580" t="s">
        <v>573</v>
      </c>
      <c r="AF28" s="392">
        <v>4.8397846623082399E-2</v>
      </c>
      <c r="AG28" s="392">
        <v>4.8477350054832301E-2</v>
      </c>
      <c r="AH28" s="392">
        <v>0.73070994954216995</v>
      </c>
      <c r="AI28" s="392">
        <v>0.749995649677206</v>
      </c>
      <c r="AJ28" s="392">
        <v>59.0206661119988</v>
      </c>
      <c r="AK28" s="392">
        <v>60.1460422787531</v>
      </c>
      <c r="AL28" s="392">
        <v>9.7343538659333699</v>
      </c>
      <c r="AM28" s="392">
        <v>10.0642735801143</v>
      </c>
      <c r="AN28" s="392">
        <v>223.52730768549401</v>
      </c>
      <c r="AO28" s="392">
        <v>223.89610389610399</v>
      </c>
      <c r="AP28" s="392">
        <v>0.47809907375098398</v>
      </c>
      <c r="AQ28" s="392">
        <v>0.471811713191023</v>
      </c>
      <c r="AR28" s="392">
        <v>1.6514871715639401</v>
      </c>
      <c r="AS28" s="392">
        <v>1.65960723912206</v>
      </c>
      <c r="AT28" s="580" t="s">
        <v>573</v>
      </c>
      <c r="AU28" s="462">
        <v>23.522491782241001</v>
      </c>
      <c r="AV28" s="392">
        <v>23.5326235326235</v>
      </c>
      <c r="AW28" s="392">
        <v>0.78904969893584997</v>
      </c>
      <c r="AX28" s="392">
        <v>1.03233532934132</v>
      </c>
      <c r="AY28" s="392">
        <v>22.939066029073899</v>
      </c>
      <c r="AZ28" s="392">
        <v>22.978394444666598</v>
      </c>
      <c r="BA28" s="392">
        <v>7.0386738013596503E-2</v>
      </c>
      <c r="BB28" s="392">
        <v>7.1213479340242594E-2</v>
      </c>
      <c r="BC28" s="392">
        <v>63.307640659375899</v>
      </c>
      <c r="BD28" s="392">
        <v>63.7338262476895</v>
      </c>
      <c r="BE28" s="392">
        <v>8.9679871816432701</v>
      </c>
      <c r="BF28" s="392">
        <v>9.3094082261905395</v>
      </c>
      <c r="BG28" s="392">
        <v>0.347580720295878</v>
      </c>
      <c r="BH28" s="392">
        <v>0.294700854700855</v>
      </c>
      <c r="BI28" s="580" t="s">
        <v>573</v>
      </c>
      <c r="BJ28" s="623">
        <v>92.614800153014698</v>
      </c>
      <c r="BK28" s="623">
        <v>93.360771146972795</v>
      </c>
      <c r="BL28" s="623">
        <v>3.42559784233359E-2</v>
      </c>
      <c r="BM28" s="623">
        <v>3.4308457711442801E-2</v>
      </c>
      <c r="BN28" s="623">
        <v>119.001519873413</v>
      </c>
      <c r="BO28" s="623">
        <v>119.241942177341</v>
      </c>
      <c r="BP28" s="623">
        <v>2.5880483808486101</v>
      </c>
      <c r="BQ28" s="623">
        <v>2.5831585256218199</v>
      </c>
      <c r="BR28" s="623">
        <v>23.429917714281</v>
      </c>
      <c r="BS28" s="623">
        <v>23.468234845700401</v>
      </c>
      <c r="BT28" s="623">
        <v>86.059259259259207</v>
      </c>
      <c r="BU28" s="623">
        <v>86.2</v>
      </c>
      <c r="BV28" s="623">
        <v>113.36615901181101</v>
      </c>
      <c r="BW28" s="623">
        <v>113.20214852313001</v>
      </c>
    </row>
    <row r="29" spans="1:75" s="180" customFormat="1" ht="10.7" customHeight="1">
      <c r="A29" s="577" t="s">
        <v>582</v>
      </c>
      <c r="B29" s="624">
        <v>63.747679457001198</v>
      </c>
      <c r="C29" s="624">
        <v>61.612913787007201</v>
      </c>
      <c r="D29" s="624">
        <v>86.229799999999997</v>
      </c>
      <c r="E29" s="624">
        <v>86.45</v>
      </c>
      <c r="F29" s="624">
        <v>228.69592988662001</v>
      </c>
      <c r="G29" s="624">
        <v>229.279936347964</v>
      </c>
      <c r="H29" s="624">
        <v>68.358278977131107</v>
      </c>
      <c r="I29" s="624">
        <v>67.436327469870093</v>
      </c>
      <c r="J29" s="624">
        <v>13.449816027980001</v>
      </c>
      <c r="K29" s="624">
        <v>13.1727311513378</v>
      </c>
      <c r="L29" s="624">
        <v>12.5664969728528</v>
      </c>
      <c r="M29" s="624">
        <v>12.265020926438201</v>
      </c>
      <c r="N29" s="624">
        <v>93.472504144631202</v>
      </c>
      <c r="O29" s="624">
        <v>91.265261724448195</v>
      </c>
      <c r="P29" s="577" t="s">
        <v>582</v>
      </c>
      <c r="Q29" s="378">
        <v>10.9983529209065</v>
      </c>
      <c r="R29" s="378">
        <v>11.0177213899279</v>
      </c>
      <c r="S29" s="378">
        <v>1.13212167182968</v>
      </c>
      <c r="T29" s="378">
        <v>1.12811144096826</v>
      </c>
      <c r="U29" s="378">
        <v>5.9987074056670796E-3</v>
      </c>
      <c r="V29" s="378">
        <v>5.9733978234582799E-3</v>
      </c>
      <c r="W29" s="378">
        <v>2.0530904761904799E-3</v>
      </c>
      <c r="X29" s="378">
        <v>2.05833333333333E-3</v>
      </c>
      <c r="Y29" s="378">
        <v>0.685711144934259</v>
      </c>
      <c r="Z29" s="378">
        <v>0.67310312609491196</v>
      </c>
      <c r="AA29" s="378">
        <v>282.647260610307</v>
      </c>
      <c r="AB29" s="378">
        <v>282.23963434541298</v>
      </c>
      <c r="AC29" s="378">
        <v>20.236067016672799</v>
      </c>
      <c r="AD29" s="378">
        <v>19.823434991974299</v>
      </c>
      <c r="AE29" s="577" t="s">
        <v>582</v>
      </c>
      <c r="AF29" s="378">
        <v>4.7110682049919597E-2</v>
      </c>
      <c r="AG29" s="378">
        <v>4.66918714555766E-2</v>
      </c>
      <c r="AH29" s="378">
        <v>0.74496028541568304</v>
      </c>
      <c r="AI29" s="378">
        <v>0.73868874843311705</v>
      </c>
      <c r="AJ29" s="378">
        <v>58.580863415125201</v>
      </c>
      <c r="AK29" s="378">
        <v>56.590164717384702</v>
      </c>
      <c r="AL29" s="378">
        <v>9.7336620199139094</v>
      </c>
      <c r="AM29" s="378">
        <v>9.2672991370531204</v>
      </c>
      <c r="AN29" s="378">
        <v>223.97118090426801</v>
      </c>
      <c r="AO29" s="378">
        <v>224.54545454545499</v>
      </c>
      <c r="AP29" s="378">
        <v>0.46799161824928898</v>
      </c>
      <c r="AQ29" s="378">
        <v>0.466918714555766</v>
      </c>
      <c r="AR29" s="378">
        <v>1.6594435943172501</v>
      </c>
      <c r="AS29" s="378">
        <v>1.65867229470453</v>
      </c>
      <c r="AT29" s="577" t="s">
        <v>582</v>
      </c>
      <c r="AU29" s="576">
        <v>23.603261749798801</v>
      </c>
      <c r="AV29" s="378">
        <v>23.646708060942601</v>
      </c>
      <c r="AW29" s="378">
        <v>1.0608762234873601</v>
      </c>
      <c r="AX29" s="378">
        <v>1.1682432432432399</v>
      </c>
      <c r="AY29" s="378">
        <v>22.991044969425001</v>
      </c>
      <c r="AZ29" s="378">
        <v>23.0484163378479</v>
      </c>
      <c r="BA29" s="378">
        <v>6.9899289836336406E-2</v>
      </c>
      <c r="BB29" s="378">
        <v>6.8027746192374103E-2</v>
      </c>
      <c r="BC29" s="378">
        <v>63.191861234651803</v>
      </c>
      <c r="BD29" s="378">
        <v>62.579174056245201</v>
      </c>
      <c r="BE29" s="378">
        <v>9.6466978368586993</v>
      </c>
      <c r="BF29" s="378">
        <v>8.7577117502254005</v>
      </c>
      <c r="BG29" s="378">
        <v>0.26878003343096302</v>
      </c>
      <c r="BH29" s="378">
        <v>0.243524556683897</v>
      </c>
      <c r="BI29" s="577" t="s">
        <v>582</v>
      </c>
      <c r="BJ29" s="624">
        <v>91.5530357411522</v>
      </c>
      <c r="BK29" s="624">
        <v>89.206480239397393</v>
      </c>
      <c r="BL29" s="624">
        <v>3.4324143360442497E-2</v>
      </c>
      <c r="BM29" s="624">
        <v>3.4407960199005001E-2</v>
      </c>
      <c r="BN29" s="624">
        <v>117.87077033838401</v>
      </c>
      <c r="BO29" s="624">
        <v>115.993559640413</v>
      </c>
      <c r="BP29" s="624">
        <v>2.55589385237435</v>
      </c>
      <c r="BQ29" s="624">
        <v>2.5097982290608201</v>
      </c>
      <c r="BR29" s="624">
        <v>23.4763352157388</v>
      </c>
      <c r="BS29" s="624">
        <v>23.536298171819102</v>
      </c>
      <c r="BT29" s="624">
        <v>86.229799999999997</v>
      </c>
      <c r="BU29" s="624">
        <v>86.45</v>
      </c>
      <c r="BV29" s="624">
        <v>111.80295124302</v>
      </c>
      <c r="BW29" s="624">
        <v>108.494747244622</v>
      </c>
    </row>
    <row r="30" spans="1:75" s="180" customFormat="1" ht="10.7" customHeight="1">
      <c r="A30" s="580" t="s">
        <v>583</v>
      </c>
      <c r="B30" s="623">
        <v>61.505405578625201</v>
      </c>
      <c r="C30" s="623">
        <v>64.0621950541817</v>
      </c>
      <c r="D30" s="623">
        <v>87.182692307692307</v>
      </c>
      <c r="E30" s="623">
        <v>89</v>
      </c>
      <c r="F30" s="623">
        <v>231.240878775163</v>
      </c>
      <c r="G30" s="623">
        <v>236.074270557029</v>
      </c>
      <c r="H30" s="623">
        <v>67.828916360170894</v>
      </c>
      <c r="I30" s="623">
        <v>70.325155070917802</v>
      </c>
      <c r="J30" s="623">
        <v>13.0266275714533</v>
      </c>
      <c r="K30" s="623">
        <v>13.361958953263199</v>
      </c>
      <c r="L30" s="623">
        <v>12.4001093453547</v>
      </c>
      <c r="M30" s="623">
        <v>12.894439454087101</v>
      </c>
      <c r="N30" s="623">
        <v>92.246324203843002</v>
      </c>
      <c r="O30" s="623">
        <v>95.933096697281698</v>
      </c>
      <c r="P30" s="580" t="s">
        <v>583</v>
      </c>
      <c r="Q30" s="392">
        <v>11.107553456878099</v>
      </c>
      <c r="R30" s="392">
        <v>11.3395297280424</v>
      </c>
      <c r="S30" s="392">
        <v>1.1277349927958999</v>
      </c>
      <c r="T30" s="392">
        <v>1.1475919266263199</v>
      </c>
      <c r="U30" s="392">
        <v>5.9771197384313E-3</v>
      </c>
      <c r="V30" s="392">
        <v>6.0969344065764696E-3</v>
      </c>
      <c r="W30" s="392">
        <v>2.0757783882783898E-3</v>
      </c>
      <c r="X30" s="392">
        <v>2.1190476190476198E-3</v>
      </c>
      <c r="Y30" s="392">
        <v>0.67661428429993398</v>
      </c>
      <c r="Z30" s="392">
        <v>0.69768353388468596</v>
      </c>
      <c r="AA30" s="392">
        <v>284.46479544701998</v>
      </c>
      <c r="AB30" s="392">
        <v>290.802156510374</v>
      </c>
      <c r="AC30" s="392">
        <v>19.901510967173401</v>
      </c>
      <c r="AD30" s="392">
        <v>20.340532510570199</v>
      </c>
      <c r="AE30" s="580" t="s">
        <v>583</v>
      </c>
      <c r="AF30" s="392">
        <v>4.7087600490247003E-2</v>
      </c>
      <c r="AG30" s="392">
        <v>4.8069133135295698E-2</v>
      </c>
      <c r="AH30" s="392">
        <v>0.73964969290252103</v>
      </c>
      <c r="AI30" s="392">
        <v>0.75817401030605502</v>
      </c>
      <c r="AJ30" s="392">
        <v>55.971638167752999</v>
      </c>
      <c r="AK30" s="392">
        <v>58.3483945698597</v>
      </c>
      <c r="AL30" s="392">
        <v>9.0978297115945104</v>
      </c>
      <c r="AM30" s="392">
        <v>9.4566164438871994</v>
      </c>
      <c r="AN30" s="392">
        <v>226.44742674544</v>
      </c>
      <c r="AO30" s="392">
        <v>231.16883116883099</v>
      </c>
      <c r="AP30" s="392">
        <v>0.45079479807870099</v>
      </c>
      <c r="AQ30" s="392">
        <v>0.44779874213836501</v>
      </c>
      <c r="AR30" s="392">
        <v>1.6655409398236201</v>
      </c>
      <c r="AS30" s="392">
        <v>1.6976633285646201</v>
      </c>
      <c r="AT30" s="580" t="s">
        <v>583</v>
      </c>
      <c r="AU30" s="462">
        <v>23.852227183663601</v>
      </c>
      <c r="AV30" s="392">
        <v>24.378552352256399</v>
      </c>
      <c r="AW30" s="392">
        <v>1.3371003581959</v>
      </c>
      <c r="AX30" s="392">
        <v>1.44421906693712</v>
      </c>
      <c r="AY30" s="392">
        <v>23.242022266921801</v>
      </c>
      <c r="AZ30" s="392">
        <v>23.727638700045301</v>
      </c>
      <c r="BA30" s="392">
        <v>6.8718485833909201E-2</v>
      </c>
      <c r="BB30" s="392">
        <v>7.1940992219864594E-2</v>
      </c>
      <c r="BC30" s="392">
        <v>63.083440928087903</v>
      </c>
      <c r="BD30" s="392">
        <v>65.103690428294499</v>
      </c>
      <c r="BE30" s="392">
        <v>8.7901377327767705</v>
      </c>
      <c r="BF30" s="392">
        <v>9.0994136501428802</v>
      </c>
      <c r="BG30" s="392">
        <v>0.241755569285422</v>
      </c>
      <c r="BH30" s="392">
        <v>0.24722222222222201</v>
      </c>
      <c r="BI30" s="580" t="s">
        <v>583</v>
      </c>
      <c r="BJ30" s="623">
        <v>89.099981332472495</v>
      </c>
      <c r="BK30" s="623">
        <v>92.950391644908606</v>
      </c>
      <c r="BL30" s="623">
        <v>3.4705982636778598E-2</v>
      </c>
      <c r="BM30" s="623">
        <v>3.5436989846705201E-2</v>
      </c>
      <c r="BN30" s="623">
        <v>117.012589192661</v>
      </c>
      <c r="BO30" s="623">
        <v>120.12417330274</v>
      </c>
      <c r="BP30" s="623">
        <v>2.5320817119106298</v>
      </c>
      <c r="BQ30" s="623">
        <v>2.6034810589439799</v>
      </c>
      <c r="BR30" s="623">
        <v>23.7357512436067</v>
      </c>
      <c r="BS30" s="623">
        <v>24.230544098229</v>
      </c>
      <c r="BT30" s="623">
        <v>87.182692307692307</v>
      </c>
      <c r="BU30" s="623">
        <v>89</v>
      </c>
      <c r="BV30" s="623">
        <v>108.62289178056901</v>
      </c>
      <c r="BW30" s="623">
        <v>112.60279718621599</v>
      </c>
    </row>
    <row r="31" spans="1:75" s="180" customFormat="1" ht="10.7" customHeight="1">
      <c r="A31" s="577" t="s">
        <v>574</v>
      </c>
      <c r="B31" s="624">
        <v>64.743437158083694</v>
      </c>
      <c r="C31" s="624">
        <v>64.312288642109806</v>
      </c>
      <c r="D31" s="624">
        <v>92.034684615384606</v>
      </c>
      <c r="E31" s="624">
        <v>93.45</v>
      </c>
      <c r="F31" s="624">
        <v>244.126313669947</v>
      </c>
      <c r="G31" s="624">
        <v>247.87798408488101</v>
      </c>
      <c r="H31" s="624">
        <v>71.8652782581743</v>
      </c>
      <c r="I31" s="624">
        <v>72.4811913441402</v>
      </c>
      <c r="J31" s="624">
        <v>13.736525409918499</v>
      </c>
      <c r="K31" s="624">
        <v>13.924069493697299</v>
      </c>
      <c r="L31" s="624">
        <v>13.0839711004016</v>
      </c>
      <c r="M31" s="624">
        <v>13.1145010314776</v>
      </c>
      <c r="N31" s="624">
        <v>97.3272099653136</v>
      </c>
      <c r="O31" s="624">
        <v>97.571141419883105</v>
      </c>
      <c r="P31" s="577" t="s">
        <v>574</v>
      </c>
      <c r="Q31" s="378">
        <v>11.7266685486016</v>
      </c>
      <c r="R31" s="378">
        <v>11.909465125466699</v>
      </c>
      <c r="S31" s="378">
        <v>1.1795725812397</v>
      </c>
      <c r="T31" s="378">
        <v>1.1837355120653601</v>
      </c>
      <c r="U31" s="378">
        <v>6.2648263062364401E-3</v>
      </c>
      <c r="V31" s="378">
        <v>6.2791869645556896E-3</v>
      </c>
      <c r="W31" s="378">
        <v>2.1913020146520101E-3</v>
      </c>
      <c r="X31" s="378">
        <v>2.225E-3</v>
      </c>
      <c r="Y31" s="378">
        <v>0.68744959404508899</v>
      </c>
      <c r="Z31" s="378">
        <v>0.68413924374977098</v>
      </c>
      <c r="AA31" s="378">
        <v>300.11159569153199</v>
      </c>
      <c r="AB31" s="378">
        <v>304.59582790091298</v>
      </c>
      <c r="AC31" s="378">
        <v>20.913360768434501</v>
      </c>
      <c r="AD31" s="378">
        <v>21.209714026327699</v>
      </c>
      <c r="AE31" s="577" t="s">
        <v>574</v>
      </c>
      <c r="AF31" s="378">
        <v>4.9708174245414301E-2</v>
      </c>
      <c r="AG31" s="378">
        <v>5.0472589792060499E-2</v>
      </c>
      <c r="AH31" s="378">
        <v>0.77870104473309998</v>
      </c>
      <c r="AI31" s="378">
        <v>0.78847119274724597</v>
      </c>
      <c r="AJ31" s="378">
        <v>58.570883031075198</v>
      </c>
      <c r="AK31" s="378">
        <v>58.102537124246098</v>
      </c>
      <c r="AL31" s="378">
        <v>9.4549800922689808</v>
      </c>
      <c r="AM31" s="378">
        <v>9.4238303408007997</v>
      </c>
      <c r="AN31" s="378">
        <v>239.04519239752599</v>
      </c>
      <c r="AO31" s="378">
        <v>242.727272727273</v>
      </c>
      <c r="AP31" s="378">
        <v>0.45036485108554097</v>
      </c>
      <c r="AQ31" s="378">
        <v>0.45752753977968202</v>
      </c>
      <c r="AR31" s="378">
        <v>1.7146190581482601</v>
      </c>
      <c r="AS31" s="378">
        <v>1.7028061224489801</v>
      </c>
      <c r="AT31" s="577" t="s">
        <v>574</v>
      </c>
      <c r="AU31" s="576">
        <v>25.150103659542602</v>
      </c>
      <c r="AV31" s="378">
        <v>25.511875511875498</v>
      </c>
      <c r="AW31" s="378">
        <v>1.61571647161236</v>
      </c>
      <c r="AX31" s="378">
        <v>1.7690487458589701</v>
      </c>
      <c r="AY31" s="378">
        <v>24.5305554532226</v>
      </c>
      <c r="AZ31" s="378">
        <v>24.906052610538101</v>
      </c>
      <c r="BA31" s="378">
        <v>7.2010398925124994E-2</v>
      </c>
      <c r="BB31" s="378">
        <v>7.1928879310344807E-2</v>
      </c>
      <c r="BC31" s="378">
        <v>66.506837725078299</v>
      </c>
      <c r="BD31" s="378">
        <v>67.0493273542601</v>
      </c>
      <c r="BE31" s="378">
        <v>9.1855701566373504</v>
      </c>
      <c r="BF31" s="378">
        <v>9.1328886608517195</v>
      </c>
      <c r="BG31" s="378">
        <v>0.255786084002805</v>
      </c>
      <c r="BH31" s="378">
        <v>0.25886426592797801</v>
      </c>
      <c r="BI31" s="577" t="s">
        <v>574</v>
      </c>
      <c r="BJ31" s="624">
        <v>94.876929071776402</v>
      </c>
      <c r="BK31" s="624">
        <v>97.827793771264098</v>
      </c>
      <c r="BL31" s="624">
        <v>3.6636321269348099E-2</v>
      </c>
      <c r="BM31" s="624">
        <v>3.7194029850746303E-2</v>
      </c>
      <c r="BN31" s="624">
        <v>123.242265645896</v>
      </c>
      <c r="BO31" s="624">
        <v>124.08710662594601</v>
      </c>
      <c r="BP31" s="624">
        <v>2.6339689149671299</v>
      </c>
      <c r="BQ31" s="624">
        <v>2.6476838079048002</v>
      </c>
      <c r="BR31" s="624">
        <v>25.056706323404399</v>
      </c>
      <c r="BS31" s="624">
        <v>25.441724973455699</v>
      </c>
      <c r="BT31" s="624">
        <v>92.034684615384606</v>
      </c>
      <c r="BU31" s="624">
        <v>93.45</v>
      </c>
      <c r="BV31" s="624">
        <v>113.511105966933</v>
      </c>
      <c r="BW31" s="624">
        <v>113.326811917622</v>
      </c>
    </row>
    <row r="32" spans="1:75" s="180" customFormat="1" ht="10.7" customHeight="1">
      <c r="A32" s="640" t="s">
        <v>2299</v>
      </c>
      <c r="B32" s="1048">
        <v>66.962726434477901</v>
      </c>
      <c r="C32" s="1048">
        <f>C44</f>
        <v>70.786798412698403</v>
      </c>
      <c r="D32" s="1048">
        <v>99.457405033238302</v>
      </c>
      <c r="E32" s="1048">
        <f>E44</f>
        <v>106</v>
      </c>
      <c r="F32" s="1048">
        <v>263.790933102991</v>
      </c>
      <c r="G32" s="1048">
        <f>G44</f>
        <v>281.16710875331597</v>
      </c>
      <c r="H32" s="1048">
        <v>74.260788473910196</v>
      </c>
      <c r="I32" s="1048">
        <f>I44</f>
        <v>80.403534721432095</v>
      </c>
      <c r="J32" s="1048">
        <v>14.3315080422354</v>
      </c>
      <c r="K32" s="1048">
        <f>K44</f>
        <v>14.7107805040524</v>
      </c>
      <c r="L32" s="1048">
        <v>14.0118337590119</v>
      </c>
      <c r="M32" s="1048">
        <f>M44</f>
        <v>15.507505047254</v>
      </c>
      <c r="N32" s="1048">
        <v>104.284585209852</v>
      </c>
      <c r="O32" s="1048">
        <f>O44</f>
        <v>115.444596106877</v>
      </c>
      <c r="P32" s="640" t="s">
        <v>2299</v>
      </c>
      <c r="Q32" s="568">
        <v>12.6905904001521</v>
      </c>
      <c r="R32" s="1048">
        <f>R44</f>
        <v>13.537762054674699</v>
      </c>
      <c r="S32" s="568">
        <v>1.21949019522715</v>
      </c>
      <c r="T32" s="1048">
        <f>T44</f>
        <v>1.29291943648228</v>
      </c>
      <c r="U32" s="568">
        <v>6.5674701106130402E-3</v>
      </c>
      <c r="V32" s="1048">
        <f>V44</f>
        <v>7.0537348194975903E-3</v>
      </c>
      <c r="W32" s="568">
        <v>2.3679287805333199E-3</v>
      </c>
      <c r="X32" s="1048">
        <f>X44</f>
        <v>2.5236593059936902E-3</v>
      </c>
      <c r="Y32" s="568">
        <v>0.72529589117079796</v>
      </c>
      <c r="Z32" s="1048">
        <f>Z44</f>
        <v>0.73767354466056601</v>
      </c>
      <c r="AA32" s="568">
        <v>323.64031586335</v>
      </c>
      <c r="AB32" s="1048">
        <f>AB44</f>
        <v>344.77150756220499</v>
      </c>
      <c r="AC32" s="568">
        <v>22.156097467835</v>
      </c>
      <c r="AD32" s="1048">
        <f>AD44</f>
        <v>22.627815135019699</v>
      </c>
      <c r="AE32" s="640" t="s">
        <v>2299</v>
      </c>
      <c r="AF32" s="568">
        <v>4.8009859112513299E-2</v>
      </c>
      <c r="AG32" s="1048">
        <f>AG44</f>
        <v>5.0476190476190501E-2</v>
      </c>
      <c r="AH32" s="568">
        <v>0.83168799222397405</v>
      </c>
      <c r="AI32" s="1048">
        <f>AI44</f>
        <v>0.89241890143233205</v>
      </c>
      <c r="AJ32" s="568">
        <v>61.334728638673099</v>
      </c>
      <c r="AK32" s="1048">
        <f>AK44</f>
        <v>65.105193096711204</v>
      </c>
      <c r="AL32" s="568">
        <v>9.6828386732266605</v>
      </c>
      <c r="AM32" s="1048">
        <f>AM44</f>
        <v>9.7922382654805098</v>
      </c>
      <c r="AN32" s="568">
        <v>258.33117304075</v>
      </c>
      <c r="AO32" s="1048">
        <f>AO44</f>
        <v>275.32467532467501</v>
      </c>
      <c r="AP32" s="568">
        <v>0.40540064524465602</v>
      </c>
      <c r="AQ32" s="1048">
        <f>AQ44</f>
        <v>0.36949891067538099</v>
      </c>
      <c r="AR32" s="568">
        <v>1.77552705814055</v>
      </c>
      <c r="AS32" s="1048">
        <f>AS44</f>
        <v>1.9013452914798199</v>
      </c>
      <c r="AT32" s="640" t="s">
        <v>2299</v>
      </c>
      <c r="AU32" s="641">
        <v>27.1894410334999</v>
      </c>
      <c r="AV32" s="1048">
        <f>AV44</f>
        <v>29.0960994757212</v>
      </c>
      <c r="AW32" s="568">
        <v>1.4556590647005301</v>
      </c>
      <c r="AX32" s="1048">
        <f>AX44</f>
        <v>1.26718469814704</v>
      </c>
      <c r="AY32" s="568">
        <v>26.4846636399181</v>
      </c>
      <c r="AZ32" s="1048">
        <f>AZ44</f>
        <v>28.2583775425875</v>
      </c>
      <c r="BA32" s="568">
        <v>7.5355456564335399E-2</v>
      </c>
      <c r="BB32" s="1048">
        <f>BB44</f>
        <v>8.1377896688457005E-2</v>
      </c>
      <c r="BC32" s="568">
        <v>72.992704996318196</v>
      </c>
      <c r="BD32" s="1048">
        <f>BD44</f>
        <v>78.405266466955098</v>
      </c>
      <c r="BE32" s="568">
        <v>9.4282679094709891</v>
      </c>
      <c r="BF32" s="1048">
        <f>BF44</f>
        <v>9.9008976191143407</v>
      </c>
      <c r="BG32" s="568">
        <v>0.28801197172235798</v>
      </c>
      <c r="BH32" s="1048">
        <f>BH44</f>
        <v>0.34527687296416898</v>
      </c>
      <c r="BI32" s="640" t="s">
        <v>2299</v>
      </c>
      <c r="BJ32" s="1048">
        <v>106.17056906989799</v>
      </c>
      <c r="BK32" s="1048">
        <f>BK44</f>
        <v>118.11242966182</v>
      </c>
      <c r="BL32" s="1048">
        <v>3.9590655314694898E-2</v>
      </c>
      <c r="BM32" s="1048">
        <f>BM44</f>
        <v>4.2189054726368198E-2</v>
      </c>
      <c r="BN32" s="1048">
        <v>131.65247142856401</v>
      </c>
      <c r="BO32" s="1048">
        <f>BO44</f>
        <v>141.38988928904899</v>
      </c>
      <c r="BP32" s="1048">
        <v>2.82572198213329</v>
      </c>
      <c r="BQ32" s="1048">
        <f>BQ44</f>
        <v>3.0100809314212702</v>
      </c>
      <c r="BR32" s="1048">
        <v>27.077377690671</v>
      </c>
      <c r="BS32" s="1048">
        <f>BS44</f>
        <v>28.860028860028901</v>
      </c>
      <c r="BT32" s="1048">
        <v>99.457405033238302</v>
      </c>
      <c r="BU32" s="1048">
        <f>BU44</f>
        <v>106</v>
      </c>
      <c r="BV32" s="1048">
        <v>119.88750660689399</v>
      </c>
      <c r="BW32" s="1048">
        <f>BW44</f>
        <v>134.75249812389399</v>
      </c>
    </row>
    <row r="33" spans="1:75" s="180" customFormat="1" ht="10.7" customHeight="1">
      <c r="A33" s="577" t="s">
        <v>576</v>
      </c>
      <c r="B33" s="624">
        <v>64.313102826423204</v>
      </c>
      <c r="C33" s="624">
        <v>66.157418644431701</v>
      </c>
      <c r="D33" s="624">
        <v>93.887307692307701</v>
      </c>
      <c r="E33" s="624">
        <v>94.7</v>
      </c>
      <c r="F33" s="624">
        <v>249.03287411392699</v>
      </c>
      <c r="G33" s="624">
        <v>251.193633952255</v>
      </c>
      <c r="H33" s="624">
        <v>72.5457807112643</v>
      </c>
      <c r="I33" s="624">
        <v>74.019071439737402</v>
      </c>
      <c r="J33" s="624">
        <v>13.944326977049901</v>
      </c>
      <c r="K33" s="624">
        <v>14.0427361834008</v>
      </c>
      <c r="L33" s="624">
        <v>12.8679722375028</v>
      </c>
      <c r="M33" s="624">
        <v>13.009313954446799</v>
      </c>
      <c r="N33" s="624">
        <v>95.770371364574004</v>
      </c>
      <c r="O33" s="624">
        <v>96.783396293542097</v>
      </c>
      <c r="P33" s="577" t="s">
        <v>576</v>
      </c>
      <c r="Q33" s="378">
        <v>11.962244657245799</v>
      </c>
      <c r="R33" s="378">
        <v>12.063771106822299</v>
      </c>
      <c r="S33" s="378">
        <v>1.18063850697232</v>
      </c>
      <c r="T33" s="378">
        <v>1.1934317147861999</v>
      </c>
      <c r="U33" s="378">
        <v>6.2669218081374597E-3</v>
      </c>
      <c r="V33" s="378">
        <v>6.3846283499073E-3</v>
      </c>
      <c r="W33" s="378">
        <v>2.2354120879120899E-3</v>
      </c>
      <c r="X33" s="378">
        <v>2.2547619047619E-3</v>
      </c>
      <c r="Y33" s="378">
        <v>0.68689277079517796</v>
      </c>
      <c r="Z33" s="378">
        <v>0.71093427423895506</v>
      </c>
      <c r="AA33" s="378">
        <v>305.40960513152299</v>
      </c>
      <c r="AB33" s="378">
        <v>308.46905537459298</v>
      </c>
      <c r="AC33" s="378">
        <v>21.146921771252298</v>
      </c>
      <c r="AD33" s="378">
        <v>21.278508032805298</v>
      </c>
      <c r="AE33" s="577" t="s">
        <v>576</v>
      </c>
      <c r="AF33" s="378">
        <v>5.0708780822202398E-2</v>
      </c>
      <c r="AG33" s="378">
        <v>5.1147718066432597E-2</v>
      </c>
      <c r="AH33" s="378">
        <v>0.78214028837757199</v>
      </c>
      <c r="AI33" s="378">
        <v>0.79142354280289295</v>
      </c>
      <c r="AJ33" s="378">
        <v>58.188778688785703</v>
      </c>
      <c r="AK33" s="378">
        <v>59.5710255909705</v>
      </c>
      <c r="AL33" s="378">
        <v>9.3817939303312006</v>
      </c>
      <c r="AM33" s="378">
        <v>9.7859896043236105</v>
      </c>
      <c r="AN33" s="378">
        <v>243.871776510937</v>
      </c>
      <c r="AO33" s="378">
        <v>246.29388816644999</v>
      </c>
      <c r="AP33" s="378">
        <v>0.434842893322957</v>
      </c>
      <c r="AQ33" s="378">
        <v>0.394435420050814</v>
      </c>
      <c r="AR33" s="378">
        <v>1.6798184899917299</v>
      </c>
      <c r="AS33" s="378">
        <v>1.7106213872832401</v>
      </c>
      <c r="AT33" s="577" t="s">
        <v>576</v>
      </c>
      <c r="AU33" s="576">
        <v>25.627346299755899</v>
      </c>
      <c r="AV33" s="378">
        <v>25.725656384553702</v>
      </c>
      <c r="AW33" s="378">
        <v>1.6105926823093599</v>
      </c>
      <c r="AX33" s="378">
        <v>1.5212851405622501</v>
      </c>
      <c r="AY33" s="378">
        <v>25.003825093993399</v>
      </c>
      <c r="AZ33" s="378">
        <v>25.212992545260899</v>
      </c>
      <c r="BA33" s="378">
        <v>7.1838194025281105E-2</v>
      </c>
      <c r="BB33" s="378">
        <v>7.2662541193982896E-2</v>
      </c>
      <c r="BC33" s="378">
        <v>67.248553251076004</v>
      </c>
      <c r="BD33" s="378">
        <v>68.590881106725107</v>
      </c>
      <c r="BE33" s="378">
        <v>9.0532191359009406</v>
      </c>
      <c r="BF33" s="378">
        <v>9.3263738428205603</v>
      </c>
      <c r="BG33" s="378">
        <v>0.26027505053809102</v>
      </c>
      <c r="BH33" s="378">
        <v>0.26378830083565502</v>
      </c>
      <c r="BI33" s="577" t="s">
        <v>576</v>
      </c>
      <c r="BJ33" s="624">
        <v>96.960907575628099</v>
      </c>
      <c r="BK33" s="624">
        <v>99.516603614964296</v>
      </c>
      <c r="BL33" s="624">
        <v>3.7373247089412399E-2</v>
      </c>
      <c r="BM33" s="624">
        <v>3.7706549870595303E-2</v>
      </c>
      <c r="BN33" s="624">
        <v>123.737225941327</v>
      </c>
      <c r="BO33" s="624">
        <v>125.347452018531</v>
      </c>
      <c r="BP33" s="624">
        <v>2.5826076552129602</v>
      </c>
      <c r="BQ33" s="624">
        <v>2.6088154269972499</v>
      </c>
      <c r="BR33" s="624">
        <v>25.560795173085101</v>
      </c>
      <c r="BS33" s="624">
        <v>25.782036971495501</v>
      </c>
      <c r="BT33" s="624">
        <v>93.887307692307701</v>
      </c>
      <c r="BU33" s="624">
        <v>94.7</v>
      </c>
      <c r="BV33" s="624">
        <v>112.599162398907</v>
      </c>
      <c r="BW33" s="624">
        <v>115.226223248819</v>
      </c>
    </row>
    <row r="34" spans="1:75" s="180" customFormat="1" ht="10.7" customHeight="1">
      <c r="A34" s="580" t="s">
        <v>577</v>
      </c>
      <c r="B34" s="623">
        <v>66.052825065238693</v>
      </c>
      <c r="C34" s="623">
        <v>65.093998613543505</v>
      </c>
      <c r="D34" s="623">
        <v>94.905555555555495</v>
      </c>
      <c r="E34" s="623">
        <v>95</v>
      </c>
      <c r="F34" s="623">
        <v>251.73392983800099</v>
      </c>
      <c r="G34" s="623">
        <v>251.989389920424</v>
      </c>
      <c r="H34" s="623">
        <v>73.522786523457398</v>
      </c>
      <c r="I34" s="623">
        <v>72.5495437015541</v>
      </c>
      <c r="J34" s="623">
        <v>13.9698871147971</v>
      </c>
      <c r="K34" s="623">
        <v>13.786898093054299</v>
      </c>
      <c r="L34" s="623">
        <v>12.9184433745143</v>
      </c>
      <c r="M34" s="623">
        <v>12.7907368137601</v>
      </c>
      <c r="N34" s="623">
        <v>96.097041519315098</v>
      </c>
      <c r="O34" s="623">
        <v>95.132996205312594</v>
      </c>
      <c r="P34" s="580" t="s">
        <v>577</v>
      </c>
      <c r="Q34" s="392">
        <v>12.0959499771105</v>
      </c>
      <c r="R34" s="392">
        <v>12.103992406337399</v>
      </c>
      <c r="S34" s="392">
        <v>1.19386270295547</v>
      </c>
      <c r="T34" s="392">
        <v>1.1922316694380799</v>
      </c>
      <c r="U34" s="392">
        <v>6.3948336670053103E-3</v>
      </c>
      <c r="V34" s="392">
        <v>6.3938618925831201E-3</v>
      </c>
      <c r="W34" s="392">
        <v>2.25965608465608E-3</v>
      </c>
      <c r="X34" s="392">
        <v>2.2619047619047601E-3</v>
      </c>
      <c r="Y34" s="392">
        <v>0.70225238117899003</v>
      </c>
      <c r="Z34" s="392">
        <v>0.68443804034582101</v>
      </c>
      <c r="AA34" s="392">
        <v>309.03116231970102</v>
      </c>
      <c r="AB34" s="392">
        <v>308.39149488719403</v>
      </c>
      <c r="AC34" s="392">
        <v>21.256171121493299</v>
      </c>
      <c r="AD34" s="392">
        <v>21.226678583398499</v>
      </c>
      <c r="AE34" s="580" t="s">
        <v>577</v>
      </c>
      <c r="AF34" s="392">
        <v>4.6982863217958602E-2</v>
      </c>
      <c r="AG34" s="392">
        <v>4.5238095238095202E-2</v>
      </c>
      <c r="AH34" s="392">
        <v>0.788832045352308</v>
      </c>
      <c r="AI34" s="392">
        <v>0.78091477178382296</v>
      </c>
      <c r="AJ34" s="392">
        <v>59.462371367342897</v>
      </c>
      <c r="AK34" s="392">
        <v>58.225493799967403</v>
      </c>
      <c r="AL34" s="392">
        <v>9.7745541727696708</v>
      </c>
      <c r="AM34" s="392">
        <v>9.68152866242038</v>
      </c>
      <c r="AN34" s="392">
        <v>246.51031058486601</v>
      </c>
      <c r="AO34" s="392">
        <v>246.753246753247</v>
      </c>
      <c r="AP34" s="392">
        <v>0.42994096566641099</v>
      </c>
      <c r="AQ34" s="392">
        <v>0.43152396093572598</v>
      </c>
      <c r="AR34" s="392">
        <v>1.6999527733878399</v>
      </c>
      <c r="AS34" s="392">
        <v>1.6917460600124701</v>
      </c>
      <c r="AT34" s="580" t="s">
        <v>577</v>
      </c>
      <c r="AU34" s="462">
        <v>25.865025577501999</v>
      </c>
      <c r="AV34" s="392">
        <v>25.860895603647698</v>
      </c>
      <c r="AW34" s="392">
        <v>1.56879821739793</v>
      </c>
      <c r="AX34" s="392">
        <v>1.5833333333333299</v>
      </c>
      <c r="AY34" s="392">
        <v>25.2623507312607</v>
      </c>
      <c r="AZ34" s="392">
        <v>25.289498203114601</v>
      </c>
      <c r="BA34" s="392">
        <v>7.1913633152842299E-2</v>
      </c>
      <c r="BB34" s="392">
        <v>7.07081984295337E-2</v>
      </c>
      <c r="BC34" s="392">
        <v>68.580087529985093</v>
      </c>
      <c r="BD34" s="392">
        <v>67.954220314735295</v>
      </c>
      <c r="BE34" s="392">
        <v>9.1551351483493093</v>
      </c>
      <c r="BF34" s="392">
        <v>8.9036345573487807</v>
      </c>
      <c r="BG34" s="392">
        <v>0.26337934764999399</v>
      </c>
      <c r="BH34" s="392">
        <v>0.26099618121377</v>
      </c>
      <c r="BI34" s="580" t="s">
        <v>577</v>
      </c>
      <c r="BJ34" s="623">
        <v>99.192847040729504</v>
      </c>
      <c r="BK34" s="623">
        <v>97.525921363309706</v>
      </c>
      <c r="BL34" s="623">
        <v>3.77766948653111E-2</v>
      </c>
      <c r="BM34" s="623">
        <v>3.7810945273631803E-2</v>
      </c>
      <c r="BN34" s="623">
        <v>124.859487163271</v>
      </c>
      <c r="BO34" s="623">
        <v>123.907656188861</v>
      </c>
      <c r="BP34" s="623">
        <v>2.64714872692223</v>
      </c>
      <c r="BQ34" s="623">
        <v>2.6016705463508099</v>
      </c>
      <c r="BR34" s="623">
        <v>25.838051466066901</v>
      </c>
      <c r="BS34" s="623">
        <v>25.863711851024998</v>
      </c>
      <c r="BT34" s="623">
        <v>94.905555555555495</v>
      </c>
      <c r="BU34" s="623">
        <v>95</v>
      </c>
      <c r="BV34" s="623">
        <v>113.87061999013901</v>
      </c>
      <c r="BW34" s="623">
        <v>110.731999184969</v>
      </c>
    </row>
    <row r="35" spans="1:75" s="180" customFormat="1" ht="10.7" customHeight="1">
      <c r="A35" s="577" t="s">
        <v>571</v>
      </c>
      <c r="B35" s="624">
        <v>64.090733843446998</v>
      </c>
      <c r="C35" s="624">
        <v>62.620798528284503</v>
      </c>
      <c r="D35" s="624">
        <v>95.615384615384599</v>
      </c>
      <c r="E35" s="624">
        <v>96</v>
      </c>
      <c r="F35" s="624">
        <v>253.61521607472599</v>
      </c>
      <c r="G35" s="624">
        <v>254.64190981432401</v>
      </c>
      <c r="H35" s="624">
        <v>71.9595212468044</v>
      </c>
      <c r="I35" s="624">
        <v>70.551921804953295</v>
      </c>
      <c r="J35" s="624">
        <v>13.750255549319499</v>
      </c>
      <c r="K35" s="624">
        <v>13.501729909144601</v>
      </c>
      <c r="L35" s="624">
        <v>12.7472039538688</v>
      </c>
      <c r="M35" s="624">
        <v>12.567912548275199</v>
      </c>
      <c r="N35" s="624">
        <v>94.785950476250704</v>
      </c>
      <c r="O35" s="624">
        <v>93.460797781315804</v>
      </c>
      <c r="P35" s="577" t="s">
        <v>571</v>
      </c>
      <c r="Q35" s="378">
        <v>12.181264344655</v>
      </c>
      <c r="R35" s="378">
        <v>12.2307016091017</v>
      </c>
      <c r="S35" s="378">
        <v>1.19406554674399</v>
      </c>
      <c r="T35" s="378">
        <v>1.17891220788152</v>
      </c>
      <c r="U35" s="378">
        <v>6.3836841542673703E-3</v>
      </c>
      <c r="V35" s="378">
        <v>6.2998326606949501E-3</v>
      </c>
      <c r="W35" s="378">
        <v>2.2765567765567801E-3</v>
      </c>
      <c r="X35" s="378">
        <v>2.2857142857142898E-3</v>
      </c>
      <c r="Y35" s="378">
        <v>0.66951814770074702</v>
      </c>
      <c r="Z35" s="378">
        <v>0.66590365206534197</v>
      </c>
      <c r="AA35" s="378">
        <v>309.26534176829898</v>
      </c>
      <c r="AB35" s="378">
        <v>309.22853921726499</v>
      </c>
      <c r="AC35" s="378">
        <v>21.056103146311202</v>
      </c>
      <c r="AD35" s="378">
        <v>20.662935858803301</v>
      </c>
      <c r="AE35" s="577" t="s">
        <v>571</v>
      </c>
      <c r="AF35" s="378">
        <v>4.5531135531135497E-2</v>
      </c>
      <c r="AG35" s="378">
        <v>4.57142857142857E-2</v>
      </c>
      <c r="AH35" s="378">
        <v>0.781279108654932</v>
      </c>
      <c r="AI35" s="378">
        <v>0.77095058206768896</v>
      </c>
      <c r="AJ35" s="378">
        <v>56.951463967383198</v>
      </c>
      <c r="AK35" s="378">
        <v>55.007993298429298</v>
      </c>
      <c r="AL35" s="378">
        <v>9.3658784074262407</v>
      </c>
      <c r="AM35" s="378">
        <v>9.0012376701796502</v>
      </c>
      <c r="AN35" s="378">
        <v>248.363989716395</v>
      </c>
      <c r="AO35" s="378">
        <v>249.35064935064901</v>
      </c>
      <c r="AP35" s="378">
        <v>0.41450641596170101</v>
      </c>
      <c r="AQ35" s="378">
        <v>0.41388230222030598</v>
      </c>
      <c r="AR35" s="378">
        <v>1.6602252157153901</v>
      </c>
      <c r="AS35" s="378">
        <v>1.6289132094680601</v>
      </c>
      <c r="AT35" s="577" t="s">
        <v>571</v>
      </c>
      <c r="AU35" s="576">
        <v>26.068999913964198</v>
      </c>
      <c r="AV35" s="378">
        <v>26.208741707390299</v>
      </c>
      <c r="AW35" s="378">
        <v>1.5871031064411201</v>
      </c>
      <c r="AX35" s="378">
        <v>1.6580310880828999</v>
      </c>
      <c r="AY35" s="378">
        <v>25.42878320486</v>
      </c>
      <c r="AZ35" s="378">
        <v>25.487853444842699</v>
      </c>
      <c r="BA35" s="378">
        <v>6.8581936955508696E-2</v>
      </c>
      <c r="BB35" s="378">
        <v>6.6926938092582294E-2</v>
      </c>
      <c r="BC35" s="378">
        <v>67.739629679544095</v>
      </c>
      <c r="BD35" s="378">
        <v>66.919940050887007</v>
      </c>
      <c r="BE35" s="378">
        <v>8.7803753687616908</v>
      </c>
      <c r="BF35" s="378">
        <v>8.5253763154389208</v>
      </c>
      <c r="BG35" s="378">
        <v>0.26398440791600097</v>
      </c>
      <c r="BH35" s="378">
        <v>0.26377974391383202</v>
      </c>
      <c r="BI35" s="577" t="s">
        <v>571</v>
      </c>
      <c r="BJ35" s="624">
        <v>98.324002859608697</v>
      </c>
      <c r="BK35" s="624">
        <v>98.330431219911901</v>
      </c>
      <c r="BL35" s="624">
        <v>3.80617014774517E-2</v>
      </c>
      <c r="BM35" s="624">
        <v>3.8208955223880597E-2</v>
      </c>
      <c r="BN35" s="624">
        <v>123.555031507547</v>
      </c>
      <c r="BO35" s="624">
        <v>122.480224547078</v>
      </c>
      <c r="BP35" s="624">
        <v>2.5835292700463399</v>
      </c>
      <c r="BQ35" s="624">
        <v>2.5193544154310499</v>
      </c>
      <c r="BR35" s="624">
        <v>26.031263606754301</v>
      </c>
      <c r="BS35" s="624">
        <v>26.1359614494569</v>
      </c>
      <c r="BT35" s="624">
        <v>95.615384615384599</v>
      </c>
      <c r="BU35" s="624">
        <v>96</v>
      </c>
      <c r="BV35" s="624">
        <v>108.432195739555</v>
      </c>
      <c r="BW35" s="624">
        <v>104.543996473829</v>
      </c>
    </row>
    <row r="36" spans="1:75" s="180" customFormat="1" ht="10.7" customHeight="1">
      <c r="A36" s="580" t="s">
        <v>578</v>
      </c>
      <c r="B36" s="623">
        <v>61.5424534778818</v>
      </c>
      <c r="C36" s="623">
        <v>62.196398487211503</v>
      </c>
      <c r="D36" s="623">
        <v>96.615384615384599</v>
      </c>
      <c r="E36" s="623">
        <v>97</v>
      </c>
      <c r="F36" s="623">
        <v>256.211508834857</v>
      </c>
      <c r="G36" s="623">
        <v>257.26031030367301</v>
      </c>
      <c r="H36" s="623">
        <v>70.496410154389295</v>
      </c>
      <c r="I36" s="623">
        <v>71.313042199676502</v>
      </c>
      <c r="J36" s="623">
        <v>13.5678718738738</v>
      </c>
      <c r="K36" s="623">
        <v>13.515773046483099</v>
      </c>
      <c r="L36" s="623">
        <v>12.7800029334058</v>
      </c>
      <c r="M36" s="623">
        <v>12.987186868213501</v>
      </c>
      <c r="N36" s="623">
        <v>95.055577421852306</v>
      </c>
      <c r="O36" s="623">
        <v>96.660496106372307</v>
      </c>
      <c r="P36" s="580" t="s">
        <v>578</v>
      </c>
      <c r="Q36" s="392">
        <v>12.3079914779421</v>
      </c>
      <c r="R36" s="392">
        <v>12.3578685861706</v>
      </c>
      <c r="S36" s="392">
        <v>1.17556638274229</v>
      </c>
      <c r="T36" s="392">
        <v>1.17906610671156</v>
      </c>
      <c r="U36" s="392">
        <v>6.26340338978829E-3</v>
      </c>
      <c r="V36" s="392">
        <v>6.22213669457006E-3</v>
      </c>
      <c r="W36" s="392">
        <v>2.3003663003662998E-3</v>
      </c>
      <c r="X36" s="392">
        <v>2.3095238095238099E-3</v>
      </c>
      <c r="Y36" s="392">
        <v>0.65785929670688303</v>
      </c>
      <c r="Z36" s="392">
        <v>0.65778320279388303</v>
      </c>
      <c r="AA36" s="392">
        <v>311.63927184644399</v>
      </c>
      <c r="AB36" s="392">
        <v>313.30749354005201</v>
      </c>
      <c r="AC36" s="392">
        <v>20.594951339743101</v>
      </c>
      <c r="AD36" s="392">
        <v>20.519329419853001</v>
      </c>
      <c r="AE36" s="580" t="s">
        <v>578</v>
      </c>
      <c r="AF36" s="392">
        <v>4.6007326007326002E-2</v>
      </c>
      <c r="AG36" s="392">
        <v>4.6190476190476198E-2</v>
      </c>
      <c r="AH36" s="392">
        <v>0.78058592305782204</v>
      </c>
      <c r="AI36" s="392">
        <v>0.78724948017186402</v>
      </c>
      <c r="AJ36" s="392">
        <v>54.9481924122002</v>
      </c>
      <c r="AK36" s="392">
        <v>56.405493327601</v>
      </c>
      <c r="AL36" s="392">
        <v>9.1322133322901493</v>
      </c>
      <c r="AM36" s="392">
        <v>9.3858554191219898</v>
      </c>
      <c r="AN36" s="392">
        <v>250.93654559957599</v>
      </c>
      <c r="AO36" s="392">
        <v>251.915335670692</v>
      </c>
      <c r="AP36" s="392">
        <v>0.436110217630921</v>
      </c>
      <c r="AQ36" s="392">
        <v>0.43817052512704702</v>
      </c>
      <c r="AR36" s="392">
        <v>1.6444369217622199</v>
      </c>
      <c r="AS36" s="392">
        <v>1.6715491986903299</v>
      </c>
      <c r="AT36" s="580" t="s">
        <v>578</v>
      </c>
      <c r="AU36" s="462">
        <v>26.4777066925894</v>
      </c>
      <c r="AV36" s="392">
        <v>26.389531245749101</v>
      </c>
      <c r="AW36" s="392">
        <v>1.5723933302824</v>
      </c>
      <c r="AX36" s="392">
        <v>1.57659488013003</v>
      </c>
      <c r="AY36" s="392">
        <v>25.704843331950698</v>
      </c>
      <c r="AZ36" s="392">
        <v>25.807481509072499</v>
      </c>
      <c r="BA36" s="392">
        <v>6.7718085368116507E-2</v>
      </c>
      <c r="BB36" s="392">
        <v>6.8316113447005694E-2</v>
      </c>
      <c r="BC36" s="392">
        <v>67.830028671621704</v>
      </c>
      <c r="BD36" s="392">
        <v>68.7528794698231</v>
      </c>
      <c r="BE36" s="392">
        <v>8.6947969315943894</v>
      </c>
      <c r="BF36" s="392">
        <v>8.8577598999164397</v>
      </c>
      <c r="BG36" s="392">
        <v>0.26405197466354402</v>
      </c>
      <c r="BH36" s="392">
        <v>0.26430517711171703</v>
      </c>
      <c r="BI36" s="580" t="s">
        <v>578</v>
      </c>
      <c r="BJ36" s="623">
        <v>97.1279654022713</v>
      </c>
      <c r="BK36" s="623">
        <v>97.360232861587903</v>
      </c>
      <c r="BL36" s="623">
        <v>3.8459187241178097E-2</v>
      </c>
      <c r="BM36" s="623">
        <v>3.8606965174129398E-2</v>
      </c>
      <c r="BN36" s="623">
        <v>123.726139352833</v>
      </c>
      <c r="BO36" s="623">
        <v>124.67866323907499</v>
      </c>
      <c r="BP36" s="623">
        <v>2.54840474068931</v>
      </c>
      <c r="BQ36" s="623">
        <v>2.5549848544712201</v>
      </c>
      <c r="BR36" s="623">
        <v>26.3036379322923</v>
      </c>
      <c r="BS36" s="623">
        <v>26.408211047888699</v>
      </c>
      <c r="BT36" s="623">
        <v>96.615384615384599</v>
      </c>
      <c r="BU36" s="623">
        <v>97</v>
      </c>
      <c r="BV36" s="623">
        <v>109.094649570805</v>
      </c>
      <c r="BW36" s="623">
        <v>112.64609248256301</v>
      </c>
    </row>
    <row r="37" spans="1:75" s="180" customFormat="1" ht="10.7" customHeight="1">
      <c r="A37" s="577" t="s">
        <v>579</v>
      </c>
      <c r="B37" s="624">
        <v>64.403006730917895</v>
      </c>
      <c r="C37" s="624">
        <v>65.542394138755995</v>
      </c>
      <c r="D37" s="624">
        <v>97.615384615384599</v>
      </c>
      <c r="E37" s="624">
        <v>98</v>
      </c>
      <c r="F37" s="624">
        <v>258.90299428118698</v>
      </c>
      <c r="G37" s="624">
        <v>259.91247845113401</v>
      </c>
      <c r="H37" s="624">
        <v>72.624314564148307</v>
      </c>
      <c r="I37" s="624">
        <v>72.164948453608204</v>
      </c>
      <c r="J37" s="624">
        <v>13.6281100526193</v>
      </c>
      <c r="K37" s="624">
        <v>13.6549206481907</v>
      </c>
      <c r="L37" s="624">
        <v>13.378575052021899</v>
      </c>
      <c r="M37" s="624">
        <v>13.610922070526801</v>
      </c>
      <c r="N37" s="624">
        <v>99.5264565661967</v>
      </c>
      <c r="O37" s="624">
        <v>101.22419620485999</v>
      </c>
      <c r="P37" s="577" t="s">
        <v>579</v>
      </c>
      <c r="Q37" s="378">
        <v>12.464383580854101</v>
      </c>
      <c r="R37" s="378">
        <v>12.5472924095283</v>
      </c>
      <c r="S37" s="378">
        <v>1.1952282620302701</v>
      </c>
      <c r="T37" s="378">
        <v>1.20059784872467</v>
      </c>
      <c r="U37" s="378">
        <v>6.2306816778415703E-3</v>
      </c>
      <c r="V37" s="378">
        <v>6.2265709384331904E-3</v>
      </c>
      <c r="W37" s="378">
        <v>2.32417582417582E-3</v>
      </c>
      <c r="X37" s="378">
        <v>2.3333333333333301E-3</v>
      </c>
      <c r="Y37" s="378">
        <v>0.68531062981354396</v>
      </c>
      <c r="Z37" s="378">
        <v>0.706535452939692</v>
      </c>
      <c r="AA37" s="378">
        <v>316.462889243728</v>
      </c>
      <c r="AB37" s="378">
        <v>318.49203769905802</v>
      </c>
      <c r="AC37" s="378">
        <v>21.161951072462301</v>
      </c>
      <c r="AD37" s="378">
        <v>21.89699474919</v>
      </c>
      <c r="AE37" s="577" t="s">
        <v>579</v>
      </c>
      <c r="AF37" s="378">
        <v>4.64835164835165E-2</v>
      </c>
      <c r="AG37" s="378">
        <v>4.6666666666666697E-2</v>
      </c>
      <c r="AH37" s="378">
        <v>0.80145062122703503</v>
      </c>
      <c r="AI37" s="378">
        <v>0.81498033652034996</v>
      </c>
      <c r="AJ37" s="378">
        <v>59.117903399819603</v>
      </c>
      <c r="AK37" s="378">
        <v>60.759993677419303</v>
      </c>
      <c r="AL37" s="378">
        <v>9.6269360047477495</v>
      </c>
      <c r="AM37" s="378">
        <v>9.7940745848761495</v>
      </c>
      <c r="AN37" s="378">
        <v>253.54392393737899</v>
      </c>
      <c r="AO37" s="378">
        <v>254.54545454545499</v>
      </c>
      <c r="AP37" s="378">
        <v>0.43849944449162698</v>
      </c>
      <c r="AQ37" s="378">
        <v>0.43628269337785203</v>
      </c>
      <c r="AR37" s="378">
        <v>1.69626757820174</v>
      </c>
      <c r="AS37" s="378">
        <v>1.7323669789641201</v>
      </c>
      <c r="AT37" s="577" t="s">
        <v>579</v>
      </c>
      <c r="AU37" s="576">
        <v>26.6793186961456</v>
      </c>
      <c r="AV37" s="378">
        <v>26.7540267540268</v>
      </c>
      <c r="AW37" s="378">
        <v>1.5992967271329499</v>
      </c>
      <c r="AX37" s="378">
        <v>1.6087991463514699</v>
      </c>
      <c r="AY37" s="378">
        <v>25.971343516208901</v>
      </c>
      <c r="AZ37" s="378">
        <v>26.075966207676402</v>
      </c>
      <c r="BA37" s="378">
        <v>7.1901923230715994E-2</v>
      </c>
      <c r="BB37" s="378">
        <v>7.4356211778630901E-2</v>
      </c>
      <c r="BC37" s="378">
        <v>70.369739822752905</v>
      </c>
      <c r="BD37" s="378">
        <v>71.322004293875807</v>
      </c>
      <c r="BE37" s="378">
        <v>9.1472348393530698</v>
      </c>
      <c r="BF37" s="378">
        <v>9.2848751279038897</v>
      </c>
      <c r="BG37" s="378">
        <v>0.266389813954025</v>
      </c>
      <c r="BH37" s="378">
        <v>0.269601100412655</v>
      </c>
      <c r="BI37" s="577" t="s">
        <v>579</v>
      </c>
      <c r="BJ37" s="624">
        <v>101.189115408749</v>
      </c>
      <c r="BK37" s="624">
        <v>102.736135863298</v>
      </c>
      <c r="BL37" s="624">
        <v>3.88590257490629E-2</v>
      </c>
      <c r="BM37" s="624">
        <v>3.9020505673900099E-2</v>
      </c>
      <c r="BN37" s="624">
        <v>126.960043272693</v>
      </c>
      <c r="BO37" s="624">
        <v>128.794848206072</v>
      </c>
      <c r="BP37" s="624">
        <v>2.6815757644682399</v>
      </c>
      <c r="BQ37" s="624">
        <v>2.7762039660056699</v>
      </c>
      <c r="BR37" s="624">
        <v>26.5757907426072</v>
      </c>
      <c r="BS37" s="624">
        <v>26.680460646320501</v>
      </c>
      <c r="BT37" s="624">
        <v>97.615384615384599</v>
      </c>
      <c r="BU37" s="624">
        <v>98</v>
      </c>
      <c r="BV37" s="624">
        <v>114.547877857789</v>
      </c>
      <c r="BW37" s="624">
        <v>117.158996721037</v>
      </c>
    </row>
    <row r="38" spans="1:75" s="180" customFormat="1" ht="10.7" customHeight="1">
      <c r="A38" s="580" t="s">
        <v>572</v>
      </c>
      <c r="B38" s="623">
        <v>66.7106587996592</v>
      </c>
      <c r="C38" s="623">
        <v>67.112098539607601</v>
      </c>
      <c r="D38" s="623">
        <v>98.846153846153797</v>
      </c>
      <c r="E38" s="623">
        <v>99</v>
      </c>
      <c r="F38" s="623">
        <v>262.15929941417198</v>
      </c>
      <c r="G38" s="623">
        <v>262.56464659859398</v>
      </c>
      <c r="H38" s="623">
        <v>72.752917162379504</v>
      </c>
      <c r="I38" s="623">
        <v>73.073516386182504</v>
      </c>
      <c r="J38" s="623">
        <v>14.151392426508201</v>
      </c>
      <c r="K38" s="623">
        <v>14.1966014196601</v>
      </c>
      <c r="L38" s="623">
        <v>14.0466612671097</v>
      </c>
      <c r="M38" s="623">
        <v>14.128325151273</v>
      </c>
      <c r="N38" s="623">
        <v>104.490433760675</v>
      </c>
      <c r="O38" s="623">
        <v>105.548849767856</v>
      </c>
      <c r="P38" s="580" t="s">
        <v>572</v>
      </c>
      <c r="Q38" s="392">
        <v>12.6901585076995</v>
      </c>
      <c r="R38" s="392">
        <v>12.7003675409394</v>
      </c>
      <c r="S38" s="392">
        <v>1.1995101363951499</v>
      </c>
      <c r="T38" s="392">
        <v>1.19583992655852</v>
      </c>
      <c r="U38" s="392">
        <v>6.3288065296305497E-3</v>
      </c>
      <c r="V38" s="392">
        <v>6.2897077509529902E-3</v>
      </c>
      <c r="W38" s="392">
        <v>2.3534043085260302E-3</v>
      </c>
      <c r="X38" s="392">
        <v>2.3570025593714701E-3</v>
      </c>
      <c r="Y38" s="392">
        <v>0.73126233435584898</v>
      </c>
      <c r="Z38" s="392">
        <v>0.744276961244972</v>
      </c>
      <c r="AA38" s="392">
        <v>322.37505440709498</v>
      </c>
      <c r="AB38" s="392">
        <v>323.15978456014398</v>
      </c>
      <c r="AC38" s="392">
        <v>22.3890584017999</v>
      </c>
      <c r="AD38" s="392">
        <v>22.395656599932099</v>
      </c>
      <c r="AE38" s="580" t="s">
        <v>572</v>
      </c>
      <c r="AF38" s="392">
        <v>4.7069597069597097E-2</v>
      </c>
      <c r="AG38" s="392">
        <v>4.7142857142857097E-2</v>
      </c>
      <c r="AH38" s="392">
        <v>0.82902352415101699</v>
      </c>
      <c r="AI38" s="392">
        <v>0.831860072733139</v>
      </c>
      <c r="AJ38" s="392">
        <v>62.793520347501797</v>
      </c>
      <c r="AK38" s="392">
        <v>62.478893725241598</v>
      </c>
      <c r="AL38" s="392">
        <v>10.0065923155296</v>
      </c>
      <c r="AM38" s="392">
        <v>10.0025258903764</v>
      </c>
      <c r="AN38" s="392">
        <v>256.741972480188</v>
      </c>
      <c r="AO38" s="392">
        <v>257.142857142857</v>
      </c>
      <c r="AP38" s="392">
        <v>0.43889349923997101</v>
      </c>
      <c r="AQ38" s="392">
        <v>0.43660418963616299</v>
      </c>
      <c r="AR38" s="392">
        <v>1.7781716502841201</v>
      </c>
      <c r="AS38" s="392">
        <v>1.7762626715708301</v>
      </c>
      <c r="AT38" s="580" t="s">
        <v>572</v>
      </c>
      <c r="AU38" s="462">
        <v>26.978926656934799</v>
      </c>
      <c r="AV38" s="392">
        <v>27.027027027027</v>
      </c>
      <c r="AW38" s="392">
        <v>1.50756152171142</v>
      </c>
      <c r="AX38" s="392">
        <v>1.36082474226804</v>
      </c>
      <c r="AY38" s="392">
        <v>26.287637113113099</v>
      </c>
      <c r="AZ38" s="392">
        <v>26.333289001196999</v>
      </c>
      <c r="BA38" s="392">
        <v>7.6391758494049694E-2</v>
      </c>
      <c r="BB38" s="392">
        <v>7.8133323862627405E-2</v>
      </c>
      <c r="BC38" s="392">
        <v>73.061577762215407</v>
      </c>
      <c r="BD38" s="392">
        <v>73.679901760131003</v>
      </c>
      <c r="BE38" s="392">
        <v>9.5199173636819108</v>
      </c>
      <c r="BF38" s="392">
        <v>9.4615064820876498</v>
      </c>
      <c r="BG38" s="392">
        <v>0.26946025610109903</v>
      </c>
      <c r="BH38" s="392">
        <v>0.27086183310533501</v>
      </c>
      <c r="BI38" s="580" t="s">
        <v>572</v>
      </c>
      <c r="BJ38" s="623">
        <v>105.90077118008401</v>
      </c>
      <c r="BK38" s="623">
        <v>106.583409592507</v>
      </c>
      <c r="BL38" s="623">
        <v>3.9350176330098498E-2</v>
      </c>
      <c r="BM38" s="623">
        <v>3.9402985074626903E-2</v>
      </c>
      <c r="BN38" s="623">
        <v>131.33890365527901</v>
      </c>
      <c r="BO38" s="623">
        <v>131.75405908969901</v>
      </c>
      <c r="BP38" s="623">
        <v>2.8422731081319199</v>
      </c>
      <c r="BQ38" s="623">
        <v>2.8596187175043299</v>
      </c>
      <c r="BR38" s="623">
        <v>26.912081292318501</v>
      </c>
      <c r="BS38" s="623">
        <v>26.9556457102404</v>
      </c>
      <c r="BT38" s="623">
        <v>98.846153846153797</v>
      </c>
      <c r="BU38" s="623">
        <v>99</v>
      </c>
      <c r="BV38" s="623">
        <v>120.328060398982</v>
      </c>
      <c r="BW38" s="623">
        <v>119.344492608876</v>
      </c>
    </row>
    <row r="39" spans="1:75" s="180" customFormat="1" ht="10.7" customHeight="1">
      <c r="A39" s="577" t="s">
        <v>580</v>
      </c>
      <c r="B39" s="624">
        <v>69.351179447134001</v>
      </c>
      <c r="C39" s="624">
        <v>70.599998583569402</v>
      </c>
      <c r="D39" s="624">
        <v>99.8888888888889</v>
      </c>
      <c r="E39" s="624">
        <v>100</v>
      </c>
      <c r="F39" s="624">
        <v>264.93646118936499</v>
      </c>
      <c r="G39" s="624">
        <v>265.21681474605498</v>
      </c>
      <c r="H39" s="624">
        <v>74.357623812719197</v>
      </c>
      <c r="I39" s="624">
        <v>74.704915583445398</v>
      </c>
      <c r="J39" s="624">
        <v>14.685108546341301</v>
      </c>
      <c r="K39" s="624">
        <v>14.792024140583401</v>
      </c>
      <c r="L39" s="624">
        <v>14.466241930185801</v>
      </c>
      <c r="M39" s="624">
        <v>14.5874664488272</v>
      </c>
      <c r="N39" s="624">
        <v>107.598433577943</v>
      </c>
      <c r="O39" s="624">
        <v>108.45999631200399</v>
      </c>
      <c r="P39" s="577" t="s">
        <v>580</v>
      </c>
      <c r="Q39" s="378">
        <v>12.776219641505699</v>
      </c>
      <c r="R39" s="378">
        <v>12.7626717377016</v>
      </c>
      <c r="S39" s="378">
        <v>1.2207602742921</v>
      </c>
      <c r="T39" s="378">
        <v>1.2266176019625901</v>
      </c>
      <c r="U39" s="378">
        <v>6.5465968019949999E-3</v>
      </c>
      <c r="V39" s="378">
        <v>6.6735626814374898E-3</v>
      </c>
      <c r="W39" s="378">
        <v>2.3784834259761201E-3</v>
      </c>
      <c r="X39" s="378">
        <v>2.3808106660317802E-3</v>
      </c>
      <c r="Y39" s="378">
        <v>0.76581681263343104</v>
      </c>
      <c r="Z39" s="378">
        <v>0.76657723265619004</v>
      </c>
      <c r="AA39" s="378">
        <v>326.83673693751899</v>
      </c>
      <c r="AB39" s="378">
        <v>327.493040772884</v>
      </c>
      <c r="AC39" s="378">
        <v>23.061669045797299</v>
      </c>
      <c r="AD39" s="378">
        <v>23.529411764705898</v>
      </c>
      <c r="AE39" s="577" t="s">
        <v>580</v>
      </c>
      <c r="AF39" s="378">
        <v>4.7566137566137603E-2</v>
      </c>
      <c r="AG39" s="378">
        <v>4.7619047619047603E-2</v>
      </c>
      <c r="AH39" s="378">
        <v>0.84607810195548905</v>
      </c>
      <c r="AI39" s="378">
        <v>0.85308000269573303</v>
      </c>
      <c r="AJ39" s="378">
        <v>63.9504864329299</v>
      </c>
      <c r="AK39" s="378">
        <v>64.689993816664099</v>
      </c>
      <c r="AL39" s="378">
        <v>10.062101351622101</v>
      </c>
      <c r="AM39" s="378">
        <v>10.0255651912376</v>
      </c>
      <c r="AN39" s="378">
        <v>259.46040947746201</v>
      </c>
      <c r="AO39" s="378">
        <v>259.74025974026</v>
      </c>
      <c r="AP39" s="378">
        <v>0.43078265232228202</v>
      </c>
      <c r="AQ39" s="378">
        <v>0.37418147801683799</v>
      </c>
      <c r="AR39" s="378">
        <v>1.8166401585829399</v>
      </c>
      <c r="AS39" s="378">
        <v>1.8341892883345601</v>
      </c>
      <c r="AT39" s="577" t="s">
        <v>580</v>
      </c>
      <c r="AU39" s="576">
        <v>27.313973869859499</v>
      </c>
      <c r="AV39" s="378">
        <v>27.300027300027299</v>
      </c>
      <c r="AW39" s="378">
        <v>1.43052957172633</v>
      </c>
      <c r="AX39" s="378">
        <v>1.4211610886093899</v>
      </c>
      <c r="AY39" s="378">
        <v>26.592140565768901</v>
      </c>
      <c r="AZ39" s="378">
        <v>26.638252530633999</v>
      </c>
      <c r="BA39" s="378">
        <v>8.0285269288344799E-2</v>
      </c>
      <c r="BB39" s="378">
        <v>8.1185635013740695E-2</v>
      </c>
      <c r="BC39" s="378">
        <v>75.325832015675303</v>
      </c>
      <c r="BD39" s="378">
        <v>76.077446840883994</v>
      </c>
      <c r="BE39" s="378">
        <v>9.6224312141239796</v>
      </c>
      <c r="BF39" s="378">
        <v>9.6019972154208109</v>
      </c>
      <c r="BG39" s="378">
        <v>0.27317413349474001</v>
      </c>
      <c r="BH39" s="378">
        <v>0.27322404371584702</v>
      </c>
      <c r="BI39" s="577" t="s">
        <v>580</v>
      </c>
      <c r="BJ39" s="624">
        <v>108.080749881324</v>
      </c>
      <c r="BK39" s="624">
        <v>108.09057990596099</v>
      </c>
      <c r="BL39" s="624">
        <v>3.9762054196907599E-2</v>
      </c>
      <c r="BM39" s="624">
        <v>3.9816842524387802E-2</v>
      </c>
      <c r="BN39" s="624">
        <v>134.16660215373699</v>
      </c>
      <c r="BO39" s="624">
        <v>135.171668018383</v>
      </c>
      <c r="BP39" s="624">
        <v>3.0005612681621598</v>
      </c>
      <c r="BQ39" s="624">
        <v>3.0525030525030501</v>
      </c>
      <c r="BR39" s="624">
        <v>27.195393482410001</v>
      </c>
      <c r="BS39" s="624">
        <v>27.224959843184202</v>
      </c>
      <c r="BT39" s="624">
        <v>99.8888888888889</v>
      </c>
      <c r="BU39" s="624">
        <v>100</v>
      </c>
      <c r="BV39" s="624">
        <v>122.173534391513</v>
      </c>
      <c r="BW39" s="624">
        <v>123.524999797612</v>
      </c>
    </row>
    <row r="40" spans="1:75" s="180" customFormat="1" ht="10.7" customHeight="1">
      <c r="A40" s="580" t="s">
        <v>581</v>
      </c>
      <c r="B40" s="623">
        <v>69.720989193036502</v>
      </c>
      <c r="C40" s="623">
        <v>68.023498500371204</v>
      </c>
      <c r="D40" s="623">
        <v>100.958333333333</v>
      </c>
      <c r="E40" s="623">
        <v>101</v>
      </c>
      <c r="F40" s="623">
        <v>267.780684201432</v>
      </c>
      <c r="G40" s="623">
        <v>267.86898289351501</v>
      </c>
      <c r="H40" s="623">
        <v>75.151846991922298</v>
      </c>
      <c r="I40" s="623">
        <v>74.390513368196196</v>
      </c>
      <c r="J40" s="623">
        <v>14.7884967559553</v>
      </c>
      <c r="K40" s="623">
        <v>14.528402307282899</v>
      </c>
      <c r="L40" s="623">
        <v>14.5303682081319</v>
      </c>
      <c r="M40" s="623">
        <v>14.395051522882399</v>
      </c>
      <c r="N40" s="623">
        <v>108.17139507520599</v>
      </c>
      <c r="O40" s="623">
        <v>107.15089619191301</v>
      </c>
      <c r="P40" s="580" t="s">
        <v>581</v>
      </c>
      <c r="Q40" s="392">
        <v>12.8661625174785</v>
      </c>
      <c r="R40" s="392">
        <v>12.8758374074947</v>
      </c>
      <c r="S40" s="392">
        <v>1.2224719559156201</v>
      </c>
      <c r="T40" s="392">
        <v>1.22199099840294</v>
      </c>
      <c r="U40" s="392">
        <v>6.674130318969E-3</v>
      </c>
      <c r="V40" s="392">
        <v>6.6268617544780499E-3</v>
      </c>
      <c r="W40" s="392">
        <v>2.40362676824792E-3</v>
      </c>
      <c r="X40" s="392">
        <v>2.4046187726920998E-3</v>
      </c>
      <c r="Y40" s="392">
        <v>0.75976006023779796</v>
      </c>
      <c r="Z40" s="392">
        <v>0.74142044411818697</v>
      </c>
      <c r="AA40" s="392">
        <v>329.89462282803601</v>
      </c>
      <c r="AB40" s="392">
        <v>328.82956210320702</v>
      </c>
      <c r="AC40" s="392">
        <v>23.152590536944299</v>
      </c>
      <c r="AD40" s="392">
        <v>22.5207648140922</v>
      </c>
      <c r="AE40" s="580" t="s">
        <v>581</v>
      </c>
      <c r="AF40" s="392">
        <v>4.8075396825396799E-2</v>
      </c>
      <c r="AG40" s="392">
        <v>4.8095238095238101E-2</v>
      </c>
      <c r="AH40" s="392">
        <v>0.85364562794699905</v>
      </c>
      <c r="AI40" s="392">
        <v>0.84675211876662604</v>
      </c>
      <c r="AJ40" s="392">
        <v>63.561707966583597</v>
      </c>
      <c r="AK40" s="392">
        <v>62.296793450064797</v>
      </c>
      <c r="AL40" s="392">
        <v>9.8718554036461601</v>
      </c>
      <c r="AM40" s="392">
        <v>9.7679861507364691</v>
      </c>
      <c r="AN40" s="392">
        <v>262.23511627135503</v>
      </c>
      <c r="AO40" s="392">
        <v>262.33766233766198</v>
      </c>
      <c r="AP40" s="392">
        <v>0.37838295902309299</v>
      </c>
      <c r="AQ40" s="392">
        <v>0.38771593090211098</v>
      </c>
      <c r="AR40" s="392">
        <v>1.84200056303588</v>
      </c>
      <c r="AS40" s="392">
        <v>1.8292130761568399</v>
      </c>
      <c r="AT40" s="580" t="s">
        <v>581</v>
      </c>
      <c r="AU40" s="462">
        <v>27.605127744821701</v>
      </c>
      <c r="AV40" s="392">
        <v>27.640941434044901</v>
      </c>
      <c r="AW40" s="392">
        <v>1.38418450169201</v>
      </c>
      <c r="AX40" s="392">
        <v>1.35270876582067</v>
      </c>
      <c r="AY40" s="392">
        <v>26.9088473132567</v>
      </c>
      <c r="AZ40" s="392">
        <v>26.912162432220001</v>
      </c>
      <c r="BA40" s="392">
        <v>7.9217063896679998E-2</v>
      </c>
      <c r="BB40" s="392">
        <v>7.6350015685770503E-2</v>
      </c>
      <c r="BC40" s="392">
        <v>75.853224040432906</v>
      </c>
      <c r="BD40" s="392">
        <v>74.984223616318303</v>
      </c>
      <c r="BE40" s="392">
        <v>9.6603536234045499</v>
      </c>
      <c r="BF40" s="392">
        <v>9.7037474719816306</v>
      </c>
      <c r="BG40" s="392">
        <v>0.27732275257457401</v>
      </c>
      <c r="BH40" s="392">
        <v>0.27900552486187802</v>
      </c>
      <c r="BI40" s="580" t="s">
        <v>581</v>
      </c>
      <c r="BJ40" s="623">
        <v>109.173315227066</v>
      </c>
      <c r="BK40" s="623">
        <v>107.929044667664</v>
      </c>
      <c r="BL40" s="623">
        <v>4.0191091130055499E-2</v>
      </c>
      <c r="BM40" s="623">
        <v>4.0199004975124401E-2</v>
      </c>
      <c r="BN40" s="623">
        <v>135.15851957874301</v>
      </c>
      <c r="BO40" s="623">
        <v>133.95225464191</v>
      </c>
      <c r="BP40" s="623">
        <v>2.9728197389087199</v>
      </c>
      <c r="BQ40" s="623">
        <v>2.8758542141230099</v>
      </c>
      <c r="BR40" s="623">
        <v>27.485974884735299</v>
      </c>
      <c r="BS40" s="623">
        <v>27.4972094416161</v>
      </c>
      <c r="BT40" s="623">
        <v>100.958333333333</v>
      </c>
      <c r="BU40" s="623">
        <v>101</v>
      </c>
      <c r="BV40" s="623">
        <v>122.055135765175</v>
      </c>
      <c r="BW40" s="623">
        <v>121.846396651194</v>
      </c>
    </row>
    <row r="41" spans="1:75" s="180" customFormat="1" ht="10.7" customHeight="1">
      <c r="A41" s="577" t="s">
        <v>573</v>
      </c>
      <c r="B41" s="624">
        <v>68.111453376558799</v>
      </c>
      <c r="C41" s="624">
        <v>68.176798473967693</v>
      </c>
      <c r="D41" s="624">
        <v>101.962962962963</v>
      </c>
      <c r="E41" s="624">
        <v>102</v>
      </c>
      <c r="F41" s="624">
        <v>270.40300121409501</v>
      </c>
      <c r="G41" s="624">
        <v>270.44942330637701</v>
      </c>
      <c r="H41" s="624">
        <v>74.4848198623759</v>
      </c>
      <c r="I41" s="624">
        <v>75.237884487718503</v>
      </c>
      <c r="J41" s="624">
        <v>14.7772382216619</v>
      </c>
      <c r="K41" s="624">
        <v>14.8070725546555</v>
      </c>
      <c r="L41" s="624">
        <v>14.6606665088293</v>
      </c>
      <c r="M41" s="624">
        <v>14.850187811198801</v>
      </c>
      <c r="N41" s="624">
        <v>109.148041357024</v>
      </c>
      <c r="O41" s="624">
        <v>110.618996237898</v>
      </c>
      <c r="P41" s="577" t="s">
        <v>573</v>
      </c>
      <c r="Q41" s="378">
        <v>12.991442272408699</v>
      </c>
      <c r="R41" s="378">
        <v>12.9938788639273</v>
      </c>
      <c r="S41" s="378">
        <v>1.2391183375231001</v>
      </c>
      <c r="T41" s="378">
        <v>1.2407928909866099</v>
      </c>
      <c r="U41" s="378">
        <v>6.6618706006980697E-3</v>
      </c>
      <c r="V41" s="378">
        <v>6.77178423236515E-3</v>
      </c>
      <c r="W41" s="378">
        <v>2.4275450976242599E-3</v>
      </c>
      <c r="X41" s="378">
        <v>2.4284268793524199E-3</v>
      </c>
      <c r="Y41" s="378">
        <v>0.762407616970597</v>
      </c>
      <c r="Z41" s="378">
        <v>0.76772542525967202</v>
      </c>
      <c r="AA41" s="378">
        <v>332.42217547590297</v>
      </c>
      <c r="AB41" s="378">
        <v>332.62677319419498</v>
      </c>
      <c r="AC41" s="378">
        <v>22.825695556955701</v>
      </c>
      <c r="AD41" s="378">
        <v>23.0456394035246</v>
      </c>
      <c r="AE41" s="577" t="s">
        <v>573</v>
      </c>
      <c r="AF41" s="378">
        <v>4.8553791887125199E-2</v>
      </c>
      <c r="AG41" s="378">
        <v>4.8571428571428599E-2</v>
      </c>
      <c r="AH41" s="378">
        <v>0.85934367320154204</v>
      </c>
      <c r="AI41" s="378">
        <v>0.86601992525059401</v>
      </c>
      <c r="AJ41" s="378">
        <v>63.294534292900501</v>
      </c>
      <c r="AK41" s="378">
        <v>63.494993445783102</v>
      </c>
      <c r="AL41" s="378">
        <v>9.6980439600730293</v>
      </c>
      <c r="AM41" s="378">
        <v>9.8030264441443702</v>
      </c>
      <c r="AN41" s="378">
        <v>264.84523736114897</v>
      </c>
      <c r="AO41" s="378">
        <v>264.93506493506499</v>
      </c>
      <c r="AP41" s="378">
        <v>0.36578543682100401</v>
      </c>
      <c r="AQ41" s="378">
        <v>0.35978835978835999</v>
      </c>
      <c r="AR41" s="378">
        <v>1.86106494960061</v>
      </c>
      <c r="AS41" s="378">
        <v>1.87396656255741</v>
      </c>
      <c r="AT41" s="577" t="s">
        <v>573</v>
      </c>
      <c r="AU41" s="576">
        <v>27.864605500672699</v>
      </c>
      <c r="AV41" s="378">
        <v>27.9081220843537</v>
      </c>
      <c r="AW41" s="378">
        <v>1.33721527849327</v>
      </c>
      <c r="AX41" s="378">
        <v>1.31910766246363</v>
      </c>
      <c r="AY41" s="378">
        <v>27.1549877668715</v>
      </c>
      <c r="AZ41" s="378">
        <v>27.164143330803299</v>
      </c>
      <c r="BA41" s="378">
        <v>7.8212075049405805E-2</v>
      </c>
      <c r="BB41" s="378">
        <v>7.8212461852255097E-2</v>
      </c>
      <c r="BC41" s="378">
        <v>76.0354093972893</v>
      </c>
      <c r="BD41" s="378">
        <v>76.723457068712605</v>
      </c>
      <c r="BE41" s="378">
        <v>9.7415430998151304</v>
      </c>
      <c r="BF41" s="378">
        <v>9.7969062906703694</v>
      </c>
      <c r="BG41" s="378">
        <v>0.30981873397369097</v>
      </c>
      <c r="BH41" s="378">
        <v>0.310975609756098</v>
      </c>
      <c r="BI41" s="577" t="s">
        <v>573</v>
      </c>
      <c r="BJ41" s="624">
        <v>110.032628764693</v>
      </c>
      <c r="BK41" s="624">
        <v>111.038536903984</v>
      </c>
      <c r="BL41" s="624">
        <v>4.0585865915994099E-2</v>
      </c>
      <c r="BM41" s="624">
        <v>4.0597014925373098E-2</v>
      </c>
      <c r="BN41" s="624">
        <v>136.17999517472501</v>
      </c>
      <c r="BO41" s="624">
        <v>137.262817924909</v>
      </c>
      <c r="BP41" s="624">
        <v>2.9583845663309898</v>
      </c>
      <c r="BQ41" s="624">
        <v>2.9785370127025801</v>
      </c>
      <c r="BR41" s="624">
        <v>27.760873923996801</v>
      </c>
      <c r="BS41" s="624">
        <v>27.7732396667211</v>
      </c>
      <c r="BT41" s="624">
        <v>101.962962962963</v>
      </c>
      <c r="BU41" s="624">
        <v>102</v>
      </c>
      <c r="BV41" s="624">
        <v>123.704137876343</v>
      </c>
      <c r="BW41" s="624">
        <v>125.58749813604101</v>
      </c>
    </row>
    <row r="42" spans="1:75" s="180" customFormat="1" ht="10.7" customHeight="1">
      <c r="A42" s="580" t="s">
        <v>582</v>
      </c>
      <c r="B42" s="623">
        <v>68.789650428230402</v>
      </c>
      <c r="C42" s="623">
        <v>68.062398441283307</v>
      </c>
      <c r="D42" s="623">
        <v>102.92</v>
      </c>
      <c r="E42" s="623">
        <v>103</v>
      </c>
      <c r="F42" s="623">
        <v>272.98433324632902</v>
      </c>
      <c r="G42" s="623">
        <v>273.17331918843701</v>
      </c>
      <c r="H42" s="623">
        <v>76.367853999925003</v>
      </c>
      <c r="I42" s="623">
        <v>76.003541912632798</v>
      </c>
      <c r="J42" s="623">
        <v>14.9488028237562</v>
      </c>
      <c r="K42" s="623">
        <v>14.8757943385326</v>
      </c>
      <c r="L42" s="623">
        <v>15.1194787270285</v>
      </c>
      <c r="M42" s="623">
        <v>15.224524787891299</v>
      </c>
      <c r="N42" s="623">
        <v>112.65315550941401</v>
      </c>
      <c r="O42" s="623">
        <v>113.526596262021</v>
      </c>
      <c r="P42" s="580" t="s">
        <v>582</v>
      </c>
      <c r="Q42" s="392">
        <v>13.1117471850661</v>
      </c>
      <c r="R42" s="392">
        <v>13.121520567665</v>
      </c>
      <c r="S42" s="392">
        <v>1.25555296095469</v>
      </c>
      <c r="T42" s="392">
        <v>1.26001590311334</v>
      </c>
      <c r="U42" s="392">
        <v>6.9308484435883898E-3</v>
      </c>
      <c r="V42" s="392">
        <v>7.0211315610088599E-3</v>
      </c>
      <c r="W42" s="392">
        <v>2.45033033747991E-3</v>
      </c>
      <c r="X42" s="392">
        <v>2.45223498601274E-3</v>
      </c>
      <c r="Y42" s="392">
        <v>0.77135285033759904</v>
      </c>
      <c r="Z42" s="392">
        <v>0.755713709233648</v>
      </c>
      <c r="AA42" s="392">
        <v>335.837769534031</v>
      </c>
      <c r="AB42" s="392">
        <v>335.997390311532</v>
      </c>
      <c r="AC42" s="392">
        <v>23.257451042322501</v>
      </c>
      <c r="AD42" s="392">
        <v>23.0915816612487</v>
      </c>
      <c r="AE42" s="580" t="s">
        <v>582</v>
      </c>
      <c r="AF42" s="392">
        <v>4.9009523809523801E-2</v>
      </c>
      <c r="AG42" s="392">
        <v>4.9047619047619E-2</v>
      </c>
      <c r="AH42" s="392">
        <v>0.87699944853827405</v>
      </c>
      <c r="AI42" s="392">
        <v>0.87600602488027202</v>
      </c>
      <c r="AJ42" s="392">
        <v>63.926312225053401</v>
      </c>
      <c r="AK42" s="392">
        <v>63.710639592595598</v>
      </c>
      <c r="AL42" s="392">
        <v>9.8101384457439504</v>
      </c>
      <c r="AM42" s="392">
        <v>9.6878262587119899</v>
      </c>
      <c r="AN42" s="392">
        <v>267.32745560492998</v>
      </c>
      <c r="AO42" s="392">
        <v>267.53246753246799</v>
      </c>
      <c r="AP42" s="392">
        <v>0.36161072629865598</v>
      </c>
      <c r="AQ42" s="392">
        <v>0.362995594713656</v>
      </c>
      <c r="AR42" s="392">
        <v>1.8626874828609099</v>
      </c>
      <c r="AS42" s="392">
        <v>1.8565248738284099</v>
      </c>
      <c r="AT42" s="580" t="s">
        <v>582</v>
      </c>
      <c r="AU42" s="462">
        <v>28.1506763406156</v>
      </c>
      <c r="AV42" s="392">
        <v>28.250524554642801</v>
      </c>
      <c r="AW42" s="392">
        <v>1.2694239276237</v>
      </c>
      <c r="AX42" s="392">
        <v>1.28029832193909</v>
      </c>
      <c r="AY42" s="392">
        <v>27.435342777521001</v>
      </c>
      <c r="AZ42" s="392">
        <v>27.461540512437701</v>
      </c>
      <c r="BA42" s="392">
        <v>7.7920700478071397E-2</v>
      </c>
      <c r="BB42" s="392">
        <v>7.6970788464843801E-2</v>
      </c>
      <c r="BC42" s="392">
        <v>77.265097452306307</v>
      </c>
      <c r="BD42" s="392">
        <v>77.162227965688999</v>
      </c>
      <c r="BE42" s="392">
        <v>9.9338535706813698</v>
      </c>
      <c r="BF42" s="392">
        <v>10.0371765324966</v>
      </c>
      <c r="BG42" s="392">
        <v>0.32058897374033002</v>
      </c>
      <c r="BH42" s="392">
        <v>0.32087227414330199</v>
      </c>
      <c r="BI42" s="580" t="s">
        <v>582</v>
      </c>
      <c r="BJ42" s="623">
        <v>114.32381293296901</v>
      </c>
      <c r="BK42" s="623">
        <v>115.180318702824</v>
      </c>
      <c r="BL42" s="623">
        <v>4.0971659322341099E-2</v>
      </c>
      <c r="BM42" s="623">
        <v>4.0995024875621899E-2</v>
      </c>
      <c r="BN42" s="623">
        <v>138.82594899314401</v>
      </c>
      <c r="BO42" s="623">
        <v>138.73922413793099</v>
      </c>
      <c r="BP42" s="623">
        <v>3.0038610196228999</v>
      </c>
      <c r="BQ42" s="623">
        <v>3.01787283914445</v>
      </c>
      <c r="BR42" s="623">
        <v>28.024492338359401</v>
      </c>
      <c r="BS42" s="623">
        <v>28.047817444108599</v>
      </c>
      <c r="BT42" s="623">
        <v>102.92</v>
      </c>
      <c r="BU42" s="623">
        <v>103</v>
      </c>
      <c r="BV42" s="623">
        <v>127.89097063047301</v>
      </c>
      <c r="BW42" s="623">
        <v>129.51219672339701</v>
      </c>
    </row>
    <row r="43" spans="1:75" s="180" customFormat="1" ht="10.7" customHeight="1">
      <c r="A43" s="577" t="s">
        <v>583</v>
      </c>
      <c r="B43" s="624">
        <v>69.414887192325807</v>
      </c>
      <c r="C43" s="624">
        <v>68.107874599156105</v>
      </c>
      <c r="D43" s="624">
        <v>104.388888888889</v>
      </c>
      <c r="E43" s="624">
        <v>104.5</v>
      </c>
      <c r="F43" s="624">
        <v>276.882752450797</v>
      </c>
      <c r="G43" s="624">
        <v>277.188328912467</v>
      </c>
      <c r="H43" s="624">
        <v>77.263718203246896</v>
      </c>
      <c r="I43" s="624">
        <v>76.843885579822</v>
      </c>
      <c r="J43" s="624">
        <v>14.953421535755</v>
      </c>
      <c r="K43" s="624">
        <v>14.7555103712176</v>
      </c>
      <c r="L43" s="624">
        <v>15.242585082747899</v>
      </c>
      <c r="M43" s="624">
        <v>15.0625202695398</v>
      </c>
      <c r="N43" s="624">
        <v>113.539527242338</v>
      </c>
      <c r="O43" s="624">
        <v>112.180746106195</v>
      </c>
      <c r="P43" s="577" t="s">
        <v>583</v>
      </c>
      <c r="Q43" s="378">
        <v>13.319785952042199</v>
      </c>
      <c r="R43" s="378">
        <v>13.338864600950901</v>
      </c>
      <c r="S43" s="378">
        <v>1.26898146399538</v>
      </c>
      <c r="T43" s="378">
        <v>1.2637179913535099</v>
      </c>
      <c r="U43" s="378">
        <v>7.0434870879901197E-3</v>
      </c>
      <c r="V43" s="378">
        <v>6.9701517425379399E-3</v>
      </c>
      <c r="W43" s="378">
        <v>2.48530180081873E-3</v>
      </c>
      <c r="X43" s="378">
        <v>2.4879471460032099E-3</v>
      </c>
      <c r="Y43" s="378">
        <v>0.76085455348827702</v>
      </c>
      <c r="Z43" s="378">
        <v>0.74746968992525298</v>
      </c>
      <c r="AA43" s="378">
        <v>340.08878079715203</v>
      </c>
      <c r="AB43" s="378">
        <v>339.72691807542299</v>
      </c>
      <c r="AC43" s="378">
        <v>23.119443541390801</v>
      </c>
      <c r="AD43" s="378">
        <v>22.636196252572301</v>
      </c>
      <c r="AE43" s="577" t="s">
        <v>583</v>
      </c>
      <c r="AF43" s="378">
        <v>4.9708994708994703E-2</v>
      </c>
      <c r="AG43" s="378">
        <v>4.9761904761904799E-2</v>
      </c>
      <c r="AH43" s="378">
        <v>0.88478605584012304</v>
      </c>
      <c r="AI43" s="378">
        <v>0.87860237483279202</v>
      </c>
      <c r="AJ43" s="378">
        <v>64.893405502482693</v>
      </c>
      <c r="AK43" s="378">
        <v>63.097093077177902</v>
      </c>
      <c r="AL43" s="378">
        <v>9.6796940533571192</v>
      </c>
      <c r="AM43" s="378">
        <v>9.3417006364871593</v>
      </c>
      <c r="AN43" s="378">
        <v>271.11648912842799</v>
      </c>
      <c r="AO43" s="378">
        <v>271.42857142857099</v>
      </c>
      <c r="AP43" s="378">
        <v>0.365861155106664</v>
      </c>
      <c r="AQ43" s="378">
        <v>0.3652249890782</v>
      </c>
      <c r="AR43" s="378">
        <v>1.8719106548944</v>
      </c>
      <c r="AS43" s="378">
        <v>1.85909980430528</v>
      </c>
      <c r="AT43" s="577" t="s">
        <v>583</v>
      </c>
      <c r="AU43" s="576">
        <v>28.591357008296701</v>
      </c>
      <c r="AV43" s="378">
        <v>28.6536879627091</v>
      </c>
      <c r="AW43" s="378">
        <v>1.3219563628794599</v>
      </c>
      <c r="AX43" s="378">
        <v>1.3899049012436</v>
      </c>
      <c r="AY43" s="378">
        <v>27.835349289315602</v>
      </c>
      <c r="AZ43" s="378">
        <v>27.865923575371301</v>
      </c>
      <c r="BA43" s="378">
        <v>7.8593160386646793E-2</v>
      </c>
      <c r="BB43" s="378">
        <v>7.8974614762584897E-2</v>
      </c>
      <c r="BC43" s="378">
        <v>77.958417234087406</v>
      </c>
      <c r="BD43" s="378">
        <v>77.3873440219202</v>
      </c>
      <c r="BE43" s="378">
        <v>9.9960415084194505</v>
      </c>
      <c r="BF43" s="378">
        <v>9.5717445763930602</v>
      </c>
      <c r="BG43" s="378">
        <v>0.336963551786777</v>
      </c>
      <c r="BH43" s="378">
        <v>0.35453774385072101</v>
      </c>
      <c r="BI43" s="577" t="s">
        <v>583</v>
      </c>
      <c r="BJ43" s="624">
        <v>116.341879394957</v>
      </c>
      <c r="BK43" s="624">
        <v>115.373999447971</v>
      </c>
      <c r="BL43" s="624">
        <v>4.1552109971668597E-2</v>
      </c>
      <c r="BM43" s="624">
        <v>4.1592039800994997E-2</v>
      </c>
      <c r="BN43" s="624">
        <v>140.06083811908701</v>
      </c>
      <c r="BO43" s="624">
        <v>139.07372903912699</v>
      </c>
      <c r="BP43" s="624">
        <v>3.0509594224381602</v>
      </c>
      <c r="BQ43" s="624">
        <v>3.0106597522327898</v>
      </c>
      <c r="BR43" s="624">
        <v>28.426411860752999</v>
      </c>
      <c r="BS43" s="624">
        <v>28.4516322252171</v>
      </c>
      <c r="BT43" s="624">
        <v>104.388888888889</v>
      </c>
      <c r="BU43" s="624">
        <v>104.5</v>
      </c>
      <c r="BV43" s="624">
        <v>130.325480454184</v>
      </c>
      <c r="BW43" s="624">
        <v>129.72629915820801</v>
      </c>
    </row>
    <row r="44" spans="1:75" s="180" customFormat="1" ht="10.7" customHeight="1">
      <c r="A44" s="580" t="s">
        <v>574</v>
      </c>
      <c r="B44" s="623">
        <v>71.051776832880904</v>
      </c>
      <c r="C44" s="623">
        <v>70.786798412698403</v>
      </c>
      <c r="D44" s="623">
        <v>105.884615384615</v>
      </c>
      <c r="E44" s="623">
        <v>106</v>
      </c>
      <c r="F44" s="623">
        <v>280.84814237700101</v>
      </c>
      <c r="G44" s="623">
        <v>281.16710875331597</v>
      </c>
      <c r="H44" s="623">
        <v>79.601868454289601</v>
      </c>
      <c r="I44" s="623">
        <v>80.403534721432095</v>
      </c>
      <c r="J44" s="623">
        <v>14.8131846291878</v>
      </c>
      <c r="K44" s="623">
        <v>14.7107805040524</v>
      </c>
      <c r="L44" s="623">
        <v>15.383805832796501</v>
      </c>
      <c r="M44" s="623">
        <v>15.507505047254</v>
      </c>
      <c r="N44" s="623">
        <v>114.57863864743599</v>
      </c>
      <c r="O44" s="623">
        <v>115.444596106877</v>
      </c>
      <c r="P44" s="580" t="s">
        <v>574</v>
      </c>
      <c r="Q44" s="392">
        <v>13.5197346878173</v>
      </c>
      <c r="R44" s="392">
        <v>13.537762054674699</v>
      </c>
      <c r="S44" s="392">
        <v>1.28812581220543</v>
      </c>
      <c r="T44" s="392">
        <v>1.29291943648228</v>
      </c>
      <c r="U44" s="392">
        <v>7.0843768474453603E-3</v>
      </c>
      <c r="V44" s="392">
        <v>7.0537348194975903E-3</v>
      </c>
      <c r="W44" s="392">
        <v>2.5202865540598501E-3</v>
      </c>
      <c r="X44" s="392">
        <v>2.5236593059936902E-3</v>
      </c>
      <c r="Y44" s="392">
        <v>0.75026323983068099</v>
      </c>
      <c r="Z44" s="392">
        <v>0.73767354466056601</v>
      </c>
      <c r="AA44" s="392">
        <v>344.42038007077002</v>
      </c>
      <c r="AB44" s="392">
        <v>344.77150756220499</v>
      </c>
      <c r="AC44" s="392">
        <v>22.851163037547401</v>
      </c>
      <c r="AD44" s="392">
        <v>22.627815135019699</v>
      </c>
      <c r="AE44" s="580" t="s">
        <v>574</v>
      </c>
      <c r="AF44" s="392">
        <v>5.0421245421245403E-2</v>
      </c>
      <c r="AG44" s="392">
        <v>5.0476190476190501E-2</v>
      </c>
      <c r="AH44" s="392">
        <v>0.89609148838457098</v>
      </c>
      <c r="AI44" s="392">
        <v>0.89241890143233205</v>
      </c>
      <c r="AJ44" s="392">
        <v>64.928067061093998</v>
      </c>
      <c r="AK44" s="392">
        <v>65.105193096711204</v>
      </c>
      <c r="AL44" s="392">
        <v>9.7842627011829908</v>
      </c>
      <c r="AM44" s="392">
        <v>9.7922382654805098</v>
      </c>
      <c r="AN44" s="392">
        <v>275.02084981633101</v>
      </c>
      <c r="AO44" s="392">
        <v>275.32467532467501</v>
      </c>
      <c r="AP44" s="392">
        <v>0.36959137705059097</v>
      </c>
      <c r="AQ44" s="392">
        <v>0.36949891067538099</v>
      </c>
      <c r="AR44" s="392">
        <v>1.8931482593687901</v>
      </c>
      <c r="AS44" s="392">
        <v>1.9013452914798199</v>
      </c>
      <c r="AT44" s="580" t="s">
        <v>574</v>
      </c>
      <c r="AU44" s="462">
        <v>29.050228100840801</v>
      </c>
      <c r="AV44" s="392">
        <v>29.0960994757212</v>
      </c>
      <c r="AW44" s="392">
        <v>1.2788535487164701</v>
      </c>
      <c r="AX44" s="392">
        <v>1.26718469814704</v>
      </c>
      <c r="AY44" s="392">
        <v>28.230512974896101</v>
      </c>
      <c r="AZ44" s="392">
        <v>28.2583775425875</v>
      </c>
      <c r="BA44" s="392">
        <v>8.1691678446361701E-2</v>
      </c>
      <c r="BB44" s="392">
        <v>8.1377896688457005E-2</v>
      </c>
      <c r="BC44" s="392">
        <v>78.644863098831905</v>
      </c>
      <c r="BD44" s="392">
        <v>78.405266466955098</v>
      </c>
      <c r="BE44" s="392">
        <v>9.8343131095661001</v>
      </c>
      <c r="BF44" s="392">
        <v>9.9008976191143407</v>
      </c>
      <c r="BG44" s="392">
        <v>0.35073466427543598</v>
      </c>
      <c r="BH44" s="392">
        <v>0.34527687296416898</v>
      </c>
      <c r="BI44" s="580" t="s">
        <v>574</v>
      </c>
      <c r="BJ44" s="623">
        <v>117.398833170695</v>
      </c>
      <c r="BK44" s="623">
        <v>118.11242966182</v>
      </c>
      <c r="BL44" s="623">
        <v>4.2145050486857301E-2</v>
      </c>
      <c r="BM44" s="623">
        <v>4.2189054726368198E-2</v>
      </c>
      <c r="BN44" s="623">
        <v>141.26092223038799</v>
      </c>
      <c r="BO44" s="623">
        <v>141.38988928904899</v>
      </c>
      <c r="BP44" s="623">
        <v>3.0365385046654998</v>
      </c>
      <c r="BQ44" s="623">
        <v>3.0100809314212702</v>
      </c>
      <c r="BR44" s="623">
        <v>28.813765584673298</v>
      </c>
      <c r="BS44" s="623">
        <v>28.860028860028901</v>
      </c>
      <c r="BT44" s="623">
        <v>105.884615384615</v>
      </c>
      <c r="BU44" s="623">
        <v>106</v>
      </c>
      <c r="BV44" s="623">
        <v>133.62825420885801</v>
      </c>
      <c r="BW44" s="623">
        <v>134.75249812389399</v>
      </c>
    </row>
    <row r="45" spans="1:75" s="180" customFormat="1" ht="10.7" customHeight="1">
      <c r="A45" s="588" t="s">
        <v>2515</v>
      </c>
      <c r="B45" s="624"/>
      <c r="C45" s="624"/>
      <c r="D45" s="624"/>
      <c r="E45" s="624"/>
      <c r="F45" s="624"/>
      <c r="G45" s="624"/>
      <c r="H45" s="624"/>
      <c r="I45" s="624"/>
      <c r="J45" s="624"/>
      <c r="K45" s="624"/>
      <c r="L45" s="624"/>
      <c r="M45" s="624"/>
      <c r="N45" s="624"/>
      <c r="O45" s="624"/>
      <c r="P45" s="588" t="s">
        <v>2515</v>
      </c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588" t="s">
        <v>2515</v>
      </c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588" t="s">
        <v>2515</v>
      </c>
      <c r="AU45" s="576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588" t="s">
        <v>2515</v>
      </c>
      <c r="BJ45" s="624"/>
      <c r="BK45" s="624"/>
      <c r="BL45" s="624"/>
      <c r="BM45" s="624"/>
      <c r="BN45" s="624"/>
      <c r="BO45" s="624"/>
      <c r="BP45" s="624"/>
      <c r="BQ45" s="624"/>
      <c r="BR45" s="624"/>
      <c r="BS45" s="624"/>
      <c r="BT45" s="624"/>
      <c r="BU45" s="624"/>
      <c r="BV45" s="624"/>
      <c r="BW45" s="624"/>
    </row>
    <row r="46" spans="1:75" s="180" customFormat="1" ht="10.7" customHeight="1">
      <c r="A46" s="580" t="s">
        <v>576</v>
      </c>
      <c r="B46" s="623">
        <v>73.197052655735604</v>
      </c>
      <c r="C46" s="623">
        <v>72.484998360902196</v>
      </c>
      <c r="D46" s="623">
        <v>108.757173076923</v>
      </c>
      <c r="E46" s="623">
        <v>109</v>
      </c>
      <c r="F46" s="623">
        <v>288.48057009148698</v>
      </c>
      <c r="G46" s="623">
        <v>289.12466843501301</v>
      </c>
      <c r="H46" s="623">
        <v>82.253054684621603</v>
      </c>
      <c r="I46" s="623">
        <v>82.239323977667098</v>
      </c>
      <c r="J46" s="623">
        <v>15.181810080346301</v>
      </c>
      <c r="K46" s="623">
        <v>15.286445550802901</v>
      </c>
      <c r="L46" s="623">
        <v>16.138422462681898</v>
      </c>
      <c r="M46" s="623">
        <v>16.115916315517101</v>
      </c>
      <c r="N46" s="623">
        <v>120.22882847917199</v>
      </c>
      <c r="O46" s="623">
        <v>120.07439901053</v>
      </c>
      <c r="P46" s="580" t="s">
        <v>576</v>
      </c>
      <c r="Q46" s="392">
        <v>13.9267899466756</v>
      </c>
      <c r="R46" s="392">
        <v>13.981259980888</v>
      </c>
      <c r="S46" s="392">
        <v>1.3241662256336799</v>
      </c>
      <c r="T46" s="392">
        <v>1.32517962870655</v>
      </c>
      <c r="U46" s="392">
        <v>7.23426285021566E-3</v>
      </c>
      <c r="V46" s="392">
        <v>7.22141248178084E-3</v>
      </c>
      <c r="W46" s="392">
        <v>2.5886893795587099E-3</v>
      </c>
      <c r="X46" s="392">
        <v>2.5950836259746399E-3</v>
      </c>
      <c r="Y46" s="392">
        <v>0.77001510414516705</v>
      </c>
      <c r="Z46" s="392">
        <v>0.77214607020153703</v>
      </c>
      <c r="AA46" s="392">
        <v>354.38570549662597</v>
      </c>
      <c r="AB46" s="392">
        <v>354.81770833333297</v>
      </c>
      <c r="AC46" s="392">
        <v>23.683304700583001</v>
      </c>
      <c r="AD46" s="392">
        <v>24.032631462903701</v>
      </c>
      <c r="AE46" s="580" t="s">
        <v>576</v>
      </c>
      <c r="AF46" s="392">
        <v>5.1789125305261599E-2</v>
      </c>
      <c r="AG46" s="392">
        <v>5.1904761904761898E-2</v>
      </c>
      <c r="AH46" s="392">
        <v>0.92149637202462797</v>
      </c>
      <c r="AI46" s="392">
        <v>0.92435157584983096</v>
      </c>
      <c r="AJ46" s="392">
        <v>67.665544456068702</v>
      </c>
      <c r="AK46" s="392">
        <v>67.220292930111896</v>
      </c>
      <c r="AL46" s="392">
        <v>10.564268824129099</v>
      </c>
      <c r="AM46" s="392">
        <v>10.6884750782024</v>
      </c>
      <c r="AN46" s="392">
        <v>282.48193054835002</v>
      </c>
      <c r="AO46" s="392">
        <v>283.116883116883</v>
      </c>
      <c r="AP46" s="392">
        <v>0.387889727484796</v>
      </c>
      <c r="AQ46" s="392">
        <v>0.38525430318453302</v>
      </c>
      <c r="AR46" s="392">
        <v>1.9821834783779899</v>
      </c>
      <c r="AS46" s="392">
        <v>1.98832542867567</v>
      </c>
      <c r="AT46" s="580" t="s">
        <v>576</v>
      </c>
      <c r="AU46" s="462">
        <v>29.844243299954702</v>
      </c>
      <c r="AV46" s="392">
        <v>29.9072600559732</v>
      </c>
      <c r="AW46" s="392">
        <v>1.2027133603048801</v>
      </c>
      <c r="AX46" s="392">
        <v>1.18917739471962</v>
      </c>
      <c r="AY46" s="392">
        <v>28.993211910954201</v>
      </c>
      <c r="AZ46" s="392">
        <v>29.062016743987598</v>
      </c>
      <c r="BA46" s="392">
        <v>8.47548739696245E-2</v>
      </c>
      <c r="BB46" s="392">
        <v>8.5482150699542001E-2</v>
      </c>
      <c r="BC46" s="392">
        <v>81.442629973172103</v>
      </c>
      <c r="BD46" s="392">
        <v>81.877934272300493</v>
      </c>
      <c r="BE46" s="392">
        <v>10.3379367325863</v>
      </c>
      <c r="BF46" s="392">
        <v>10.3339084927663</v>
      </c>
      <c r="BG46" s="392">
        <v>0.34159888097073698</v>
      </c>
      <c r="BH46" s="392">
        <v>0.33130699088145898</v>
      </c>
      <c r="BI46" s="580" t="s">
        <v>576</v>
      </c>
      <c r="BJ46" s="623">
        <v>124.35968792857901</v>
      </c>
      <c r="BK46" s="623">
        <v>125.287356321839</v>
      </c>
      <c r="BL46" s="623">
        <v>4.3287745683289698E-2</v>
      </c>
      <c r="BM46" s="623">
        <v>4.33830845771144E-2</v>
      </c>
      <c r="BN46" s="623">
        <v>146.00365616264901</v>
      </c>
      <c r="BO46" s="623">
        <v>146.387322052109</v>
      </c>
      <c r="BP46" s="623">
        <v>3.1419411896027198</v>
      </c>
      <c r="BQ46" s="623">
        <v>3.1778425655976701</v>
      </c>
      <c r="BR46" s="623">
        <v>29.6103841019778</v>
      </c>
      <c r="BS46" s="623">
        <v>29.675206229070799</v>
      </c>
      <c r="BT46" s="623">
        <v>108.757173076923</v>
      </c>
      <c r="BU46" s="623">
        <v>109</v>
      </c>
      <c r="BV46" s="623">
        <v>140.080170540685</v>
      </c>
      <c r="BW46" s="623">
        <v>140.08134809166199</v>
      </c>
    </row>
    <row r="47" spans="1:75" s="180" customFormat="1" ht="10.7" customHeight="1">
      <c r="A47" s="577" t="s">
        <v>577</v>
      </c>
      <c r="B47" s="624">
        <v>71.071665882624103</v>
      </c>
      <c r="C47" s="624">
        <v>70.923148309402507</v>
      </c>
      <c r="D47" s="624">
        <v>109.45777777777801</v>
      </c>
      <c r="E47" s="624">
        <v>109.5</v>
      </c>
      <c r="F47" s="624">
        <v>290.34463283907502</v>
      </c>
      <c r="G47" s="624">
        <v>290.45092838196302</v>
      </c>
      <c r="H47" s="624">
        <v>81.289896231848502</v>
      </c>
      <c r="I47" s="624">
        <v>80.913322988250897</v>
      </c>
      <c r="J47" s="624">
        <v>15.259102963463301</v>
      </c>
      <c r="K47" s="624">
        <v>15.248360279065899</v>
      </c>
      <c r="L47" s="624">
        <v>16.0886535033742</v>
      </c>
      <c r="M47" s="624">
        <v>16.048423737010999</v>
      </c>
      <c r="N47" s="624">
        <v>119.477560256676</v>
      </c>
      <c r="O47" s="624">
        <v>119.639695991214</v>
      </c>
      <c r="P47" s="577" t="s">
        <v>577</v>
      </c>
      <c r="Q47" s="378">
        <v>13.988553970361499</v>
      </c>
      <c r="R47" s="378">
        <v>13.953488372093</v>
      </c>
      <c r="S47" s="378">
        <v>1.32177652327002</v>
      </c>
      <c r="T47" s="378">
        <v>1.32541714327215</v>
      </c>
      <c r="U47" s="378">
        <v>7.1782926864351502E-3</v>
      </c>
      <c r="V47" s="378">
        <v>7.1878692398582101E-3</v>
      </c>
      <c r="W47" s="378">
        <v>2.6047944291674998E-3</v>
      </c>
      <c r="X47" s="378">
        <v>2.6069876793048002E-3</v>
      </c>
      <c r="Y47" s="378">
        <v>0.75661336083587805</v>
      </c>
      <c r="Z47" s="378">
        <v>0.74869235239820897</v>
      </c>
      <c r="AA47" s="378">
        <v>355.555751312111</v>
      </c>
      <c r="AB47" s="378">
        <v>355.51948051948102</v>
      </c>
      <c r="AC47" s="378">
        <v>23.750462058470099</v>
      </c>
      <c r="AD47" s="378">
        <v>23.599137931034502</v>
      </c>
      <c r="AE47" s="577" t="s">
        <v>577</v>
      </c>
      <c r="AF47" s="378">
        <v>5.21227513227513E-2</v>
      </c>
      <c r="AG47" s="378">
        <v>5.2142857142857102E-2</v>
      </c>
      <c r="AH47" s="378">
        <v>0.92175640960987304</v>
      </c>
      <c r="AI47" s="378">
        <v>0.91676908805336899</v>
      </c>
      <c r="AJ47" s="378">
        <v>65.713126673086293</v>
      </c>
      <c r="AK47" s="378">
        <v>65.229142647305693</v>
      </c>
      <c r="AL47" s="378">
        <v>10.4812945639618</v>
      </c>
      <c r="AM47" s="378">
        <v>10.335356357424001</v>
      </c>
      <c r="AN47" s="378">
        <v>284.29634751307299</v>
      </c>
      <c r="AO47" s="378">
        <v>284.41558441558402</v>
      </c>
      <c r="AP47" s="378">
        <v>0.37349325255368199</v>
      </c>
      <c r="AQ47" s="378">
        <v>0.35960591133004899</v>
      </c>
      <c r="AR47" s="378">
        <v>1.94462373810801</v>
      </c>
      <c r="AS47" s="378">
        <v>1.9301956636700199</v>
      </c>
      <c r="AT47" s="577" t="s">
        <v>577</v>
      </c>
      <c r="AU47" s="576">
        <v>30.033642343336702</v>
      </c>
      <c r="AV47" s="378">
        <v>30.039916052837299</v>
      </c>
      <c r="AW47" s="378">
        <v>1.1443263714382399</v>
      </c>
      <c r="AX47" s="378">
        <v>1.13707165109034</v>
      </c>
      <c r="AY47" s="378">
        <v>29.1785831991942</v>
      </c>
      <c r="AZ47" s="378">
        <v>29.189880841308302</v>
      </c>
      <c r="BA47" s="378">
        <v>8.2804509628842199E-2</v>
      </c>
      <c r="BB47" s="378">
        <v>8.2742361444326507E-2</v>
      </c>
      <c r="BC47" s="378">
        <v>81.091284587132606</v>
      </c>
      <c r="BD47" s="378">
        <v>81.129139808846404</v>
      </c>
      <c r="BE47" s="378">
        <v>10.117851227002401</v>
      </c>
      <c r="BF47" s="378">
        <v>10.097749907783101</v>
      </c>
      <c r="BG47" s="378">
        <v>0.341089607414443</v>
      </c>
      <c r="BH47" s="378">
        <v>0.34326018808777398</v>
      </c>
      <c r="BI47" s="577" t="s">
        <v>577</v>
      </c>
      <c r="BJ47" s="624">
        <v>124.65797951387</v>
      </c>
      <c r="BK47" s="624">
        <v>124.701059104886</v>
      </c>
      <c r="BL47" s="624">
        <v>8.3649372615941103E-3</v>
      </c>
      <c r="BM47" s="624">
        <v>8.4221051417144206E-3</v>
      </c>
      <c r="BN47" s="624">
        <v>145.943162146997</v>
      </c>
      <c r="BO47" s="624">
        <v>145.650438946528</v>
      </c>
      <c r="BP47" s="624">
        <v>3.1258693698274498</v>
      </c>
      <c r="BQ47" s="624">
        <v>3.1330472103004299</v>
      </c>
      <c r="BR47" s="624">
        <v>29.800722368277899</v>
      </c>
      <c r="BS47" s="624">
        <v>29.813360197122101</v>
      </c>
      <c r="BT47" s="624">
        <v>109.45777777777801</v>
      </c>
      <c r="BU47" s="624">
        <v>109.5</v>
      </c>
      <c r="BV47" s="624">
        <v>139.174480918163</v>
      </c>
      <c r="BW47" s="624">
        <v>139.283996556604</v>
      </c>
    </row>
    <row r="48" spans="1:75" s="180" customFormat="1" ht="10.7" customHeight="1">
      <c r="A48" s="580" t="s">
        <v>571</v>
      </c>
      <c r="B48" s="623">
        <v>70.674205747704804</v>
      </c>
      <c r="C48" s="623">
        <v>70.521412069100293</v>
      </c>
      <c r="D48" s="623">
        <v>109.97</v>
      </c>
      <c r="E48" s="623">
        <v>110.25</v>
      </c>
      <c r="F48" s="623">
        <v>291.74416089473499</v>
      </c>
      <c r="G48" s="623">
        <v>292.44031830238703</v>
      </c>
      <c r="H48" s="623">
        <v>81.062875399841403</v>
      </c>
      <c r="I48" s="623">
        <v>81.563956499223195</v>
      </c>
      <c r="J48" s="623">
        <v>15.3108439062197</v>
      </c>
      <c r="K48" s="623">
        <v>15.3729241323535</v>
      </c>
      <c r="L48" s="623">
        <v>15.7812456308311</v>
      </c>
      <c r="M48" s="623">
        <v>15.631867742347101</v>
      </c>
      <c r="N48" s="623">
        <v>117.670449585732</v>
      </c>
      <c r="O48" s="623">
        <v>116.55629582860399</v>
      </c>
      <c r="P48" s="580" t="s">
        <v>571</v>
      </c>
      <c r="Q48" s="392">
        <v>14.0453130432763</v>
      </c>
      <c r="R48" s="392">
        <v>14.0959419029841</v>
      </c>
      <c r="S48" s="392">
        <v>1.3248753740783701</v>
      </c>
      <c r="T48" s="392">
        <v>1.3242447901026999</v>
      </c>
      <c r="U48" s="392">
        <v>7.1575136670212402E-3</v>
      </c>
      <c r="V48" s="392">
        <v>7.09573612228479E-3</v>
      </c>
      <c r="W48" s="392">
        <v>2.6181774894351501E-3</v>
      </c>
      <c r="X48" s="392">
        <v>2.6248437593000399E-3</v>
      </c>
      <c r="Y48" s="392">
        <v>0.74468592005868794</v>
      </c>
      <c r="Z48" s="392">
        <v>0.73958542966391605</v>
      </c>
      <c r="AA48" s="392">
        <v>356.15256987749302</v>
      </c>
      <c r="AB48" s="392">
        <v>356.39243575238402</v>
      </c>
      <c r="AC48" s="392">
        <v>23.497546125251599</v>
      </c>
      <c r="AD48" s="392">
        <v>23.425050462126801</v>
      </c>
      <c r="AE48" s="580" t="s">
        <v>571</v>
      </c>
      <c r="AF48" s="392">
        <v>5.23666666666667E-2</v>
      </c>
      <c r="AG48" s="392">
        <v>5.2499999999999998E-2</v>
      </c>
      <c r="AH48" s="392">
        <v>0.91726095384464501</v>
      </c>
      <c r="AI48" s="392">
        <v>0.91580872763640797</v>
      </c>
      <c r="AJ48" s="392">
        <v>65.163039448610206</v>
      </c>
      <c r="AK48" s="392">
        <v>65.560150912301296</v>
      </c>
      <c r="AL48" s="392">
        <v>10.250369957738499</v>
      </c>
      <c r="AM48" s="392">
        <v>10.191630383538101</v>
      </c>
      <c r="AN48" s="392">
        <v>285.596336210164</v>
      </c>
      <c r="AO48" s="392">
        <v>286.36363636363598</v>
      </c>
      <c r="AP48" s="392">
        <v>0.37021955229956599</v>
      </c>
      <c r="AQ48" s="392">
        <v>0.38663861125723298</v>
      </c>
      <c r="AR48" s="392">
        <v>1.93660957456927</v>
      </c>
      <c r="AS48" s="392">
        <v>1.93624868282403</v>
      </c>
      <c r="AT48" s="580" t="s">
        <v>571</v>
      </c>
      <c r="AU48" s="462">
        <v>30.162944511754301</v>
      </c>
      <c r="AV48" s="392">
        <v>30.2411059604465</v>
      </c>
      <c r="AW48" s="392">
        <v>1.14031468772844</v>
      </c>
      <c r="AX48" s="392">
        <v>1.1447409407122799</v>
      </c>
      <c r="AY48" s="392">
        <v>29.3179368107992</v>
      </c>
      <c r="AZ48" s="392">
        <v>29.389811532002199</v>
      </c>
      <c r="BA48" s="392">
        <v>8.2549703701710803E-2</v>
      </c>
      <c r="BB48" s="392">
        <v>8.1630688696463394E-2</v>
      </c>
      <c r="BC48" s="392">
        <v>80.725585150250893</v>
      </c>
      <c r="BD48" s="392">
        <v>80.542060854001505</v>
      </c>
      <c r="BE48" s="392">
        <v>9.9180031569107001</v>
      </c>
      <c r="BF48" s="392">
        <v>10.012168985433499</v>
      </c>
      <c r="BG48" s="392">
        <v>0.34083560907911398</v>
      </c>
      <c r="BH48" s="392">
        <v>0.34133126934984498</v>
      </c>
      <c r="BI48" s="580" t="s">
        <v>571</v>
      </c>
      <c r="BJ48" s="623">
        <v>122.65270426302899</v>
      </c>
      <c r="BK48" s="623">
        <v>120.39312039312</v>
      </c>
      <c r="BL48" s="623">
        <v>8.4582548167519093E-3</v>
      </c>
      <c r="BM48" s="623">
        <v>8.4797907933700008E-3</v>
      </c>
      <c r="BN48" s="623">
        <v>145.203885308054</v>
      </c>
      <c r="BO48" s="623">
        <v>144.571203776554</v>
      </c>
      <c r="BP48" s="623">
        <v>3.07350086192158</v>
      </c>
      <c r="BQ48" s="623">
        <v>3.0164158686730498</v>
      </c>
      <c r="BR48" s="623">
        <v>29.940151661039799</v>
      </c>
      <c r="BS48" s="623">
        <v>30.015518227110601</v>
      </c>
      <c r="BT48" s="623">
        <v>109.97</v>
      </c>
      <c r="BU48" s="623">
        <v>110.25</v>
      </c>
      <c r="BV48" s="623">
        <v>136.57194002811701</v>
      </c>
      <c r="BW48" s="623">
        <v>134.04194909319</v>
      </c>
    </row>
    <row r="49" spans="1:75" s="180" customFormat="1" ht="10.7" customHeight="1">
      <c r="A49" s="577" t="s">
        <v>578</v>
      </c>
      <c r="B49" s="624">
        <v>70.199808625089304</v>
      </c>
      <c r="C49" s="624">
        <v>70.443748266666702</v>
      </c>
      <c r="D49" s="624">
        <v>110.490555555556</v>
      </c>
      <c r="E49" s="624">
        <v>110.5</v>
      </c>
      <c r="F49" s="624">
        <v>293.13609025553899</v>
      </c>
      <c r="G49" s="624">
        <v>292.948038176034</v>
      </c>
      <c r="H49" s="624">
        <v>80.679638351776902</v>
      </c>
      <c r="I49" s="624">
        <v>79.921886301171696</v>
      </c>
      <c r="J49" s="624">
        <v>15.390935671938401</v>
      </c>
      <c r="K49" s="624">
        <v>15.394474707086999</v>
      </c>
      <c r="L49" s="624">
        <v>15.6437819083731</v>
      </c>
      <c r="M49" s="624">
        <v>15.7135442218951</v>
      </c>
      <c r="N49" s="624">
        <v>116.696525656121</v>
      </c>
      <c r="O49" s="624">
        <v>117.295745836081</v>
      </c>
      <c r="P49" s="577" t="s">
        <v>578</v>
      </c>
      <c r="Q49" s="378">
        <v>14.1194160454168</v>
      </c>
      <c r="R49" s="378">
        <v>14.1290796918454</v>
      </c>
      <c r="S49" s="378">
        <v>1.3281115265235</v>
      </c>
      <c r="T49" s="378">
        <v>1.32724761275599</v>
      </c>
      <c r="U49" s="378">
        <v>7.0156417419649604E-3</v>
      </c>
      <c r="V49" s="378">
        <v>6.9496855345911896E-3</v>
      </c>
      <c r="W49" s="378">
        <v>2.63057093162444E-3</v>
      </c>
      <c r="X49" s="378">
        <v>2.6307957859651198E-3</v>
      </c>
      <c r="Y49" s="378">
        <v>0.73903818483115702</v>
      </c>
      <c r="Z49" s="378">
        <v>0.74103879556047303</v>
      </c>
      <c r="AA49" s="378">
        <v>357.26851195467202</v>
      </c>
      <c r="AB49" s="378">
        <v>357.200581865201</v>
      </c>
      <c r="AC49" s="378">
        <v>23.289732998152299</v>
      </c>
      <c r="AD49" s="378">
        <v>23.185060847671</v>
      </c>
      <c r="AE49" s="577" t="s">
        <v>578</v>
      </c>
      <c r="AF49" s="378">
        <v>5.2614550264550301E-2</v>
      </c>
      <c r="AG49" s="378">
        <v>5.26190476190476E-2</v>
      </c>
      <c r="AH49" s="378">
        <v>0.91507869148770504</v>
      </c>
      <c r="AI49" s="378">
        <v>0.91418794876907306</v>
      </c>
      <c r="AJ49" s="378">
        <v>65.2624648980606</v>
      </c>
      <c r="AK49" s="378">
        <v>64.565142435392801</v>
      </c>
      <c r="AL49" s="378">
        <v>10.0629286985248</v>
      </c>
      <c r="AM49" s="378">
        <v>9.9130700015250905</v>
      </c>
      <c r="AN49" s="378">
        <v>286.99397919968197</v>
      </c>
      <c r="AO49" s="378">
        <v>287.01298701298703</v>
      </c>
      <c r="AP49" s="378">
        <v>0.39422100046506198</v>
      </c>
      <c r="AQ49" s="378">
        <v>0.39295874822190602</v>
      </c>
      <c r="AR49" s="378">
        <v>1.94495351620669</v>
      </c>
      <c r="AS49" s="378">
        <v>1.94439556572233</v>
      </c>
      <c r="AT49" s="577" t="s">
        <v>578</v>
      </c>
      <c r="AU49" s="576">
        <v>30.2947389724517</v>
      </c>
      <c r="AV49" s="378">
        <v>30.232558139534898</v>
      </c>
      <c r="AW49" s="378">
        <v>1.13461916445038</v>
      </c>
      <c r="AX49" s="378">
        <v>1.18731028554544</v>
      </c>
      <c r="AY49" s="378">
        <v>29.456147773121799</v>
      </c>
      <c r="AZ49" s="378">
        <v>29.453314497427801</v>
      </c>
      <c r="BA49" s="378">
        <v>8.1736701902408504E-2</v>
      </c>
      <c r="BB49" s="378">
        <v>8.1803981373862703E-2</v>
      </c>
      <c r="BC49" s="378">
        <v>80.718127235054396</v>
      </c>
      <c r="BD49" s="378">
        <v>80.990948070509802</v>
      </c>
      <c r="BE49" s="378">
        <v>10.026223735116099</v>
      </c>
      <c r="BF49" s="378">
        <v>9.8899131835675291</v>
      </c>
      <c r="BG49" s="378">
        <v>0.34025245326683101</v>
      </c>
      <c r="BH49" s="378">
        <v>0.33753340969835799</v>
      </c>
      <c r="BI49" s="577" t="s">
        <v>578</v>
      </c>
      <c r="BJ49" s="624">
        <v>122.219407866574</v>
      </c>
      <c r="BK49" s="624">
        <v>122.505543237251</v>
      </c>
      <c r="BL49" s="624">
        <v>8.4982929320121196E-3</v>
      </c>
      <c r="BM49" s="624">
        <v>8.4990193439218598E-3</v>
      </c>
      <c r="BN49" s="624">
        <v>144.920105437524</v>
      </c>
      <c r="BO49" s="624">
        <v>144.93704092339999</v>
      </c>
      <c r="BP49" s="624">
        <v>3.02637679664325</v>
      </c>
      <c r="BQ49" s="624">
        <v>3.0622142164334201</v>
      </c>
      <c r="BR49" s="624">
        <v>30.0819042722358</v>
      </c>
      <c r="BS49" s="624">
        <v>30.0843996732916</v>
      </c>
      <c r="BT49" s="624">
        <v>110.490555555556</v>
      </c>
      <c r="BU49" s="624">
        <v>110.5</v>
      </c>
      <c r="BV49" s="624">
        <v>134.516811689066</v>
      </c>
      <c r="BW49" s="624">
        <v>134.46744909195499</v>
      </c>
    </row>
    <row r="50" spans="1:75" s="180" customFormat="1" ht="10.7" customHeight="1">
      <c r="A50" s="580" t="s">
        <v>579</v>
      </c>
      <c r="B50" s="623">
        <v>71.969735583881501</v>
      </c>
      <c r="C50" s="623">
        <v>73.128898330311301</v>
      </c>
      <c r="D50" s="623">
        <v>110.880769230769</v>
      </c>
      <c r="E50" s="623">
        <v>110.5</v>
      </c>
      <c r="F50" s="623">
        <v>294.25151545893999</v>
      </c>
      <c r="G50" s="623">
        <v>293.414763674987</v>
      </c>
      <c r="H50" s="623">
        <v>80.820752580072096</v>
      </c>
      <c r="I50" s="623">
        <v>81.312778247911993</v>
      </c>
      <c r="J50" s="623">
        <v>15.495770767620201</v>
      </c>
      <c r="K50" s="623">
        <v>15.5594356360359</v>
      </c>
      <c r="L50" s="623">
        <v>16.1125345459008</v>
      </c>
      <c r="M50" s="623">
        <v>16.257650659133699</v>
      </c>
      <c r="N50" s="623">
        <v>119.791771191755</v>
      </c>
      <c r="O50" s="623">
        <v>121.21849597083001</v>
      </c>
      <c r="P50" s="580" t="s">
        <v>579</v>
      </c>
      <c r="Q50" s="392">
        <v>14.2024944501063</v>
      </c>
      <c r="R50" s="392">
        <v>14.158770429311801</v>
      </c>
      <c r="S50" s="392">
        <v>1.3317689313454899</v>
      </c>
      <c r="T50" s="392">
        <v>1.3256235229194899</v>
      </c>
      <c r="U50" s="392">
        <v>7.1035915936571801E-3</v>
      </c>
      <c r="V50" s="392">
        <v>7.1354772052176201E-3</v>
      </c>
      <c r="W50" s="392">
        <v>2.6398611804242401E-3</v>
      </c>
      <c r="X50" s="392">
        <v>2.6307957859651198E-3</v>
      </c>
      <c r="Y50" s="392">
        <v>0.73923772422914602</v>
      </c>
      <c r="Z50" s="392">
        <v>0.75044993038812902</v>
      </c>
      <c r="AA50" s="392">
        <v>359.34100715323399</v>
      </c>
      <c r="AB50" s="392">
        <v>358.35900762121003</v>
      </c>
      <c r="AC50" s="392">
        <v>23.6355402767526</v>
      </c>
      <c r="AD50" s="392">
        <v>23.748119492800299</v>
      </c>
      <c r="AE50" s="580" t="s">
        <v>579</v>
      </c>
      <c r="AF50" s="392">
        <v>5.2800366300366303E-2</v>
      </c>
      <c r="AG50" s="392">
        <v>5.26190476190476E-2</v>
      </c>
      <c r="AH50" s="392">
        <v>0.92579886443692905</v>
      </c>
      <c r="AI50" s="392">
        <v>0.93037432200549997</v>
      </c>
      <c r="AJ50" s="392">
        <v>66.363603252281806</v>
      </c>
      <c r="AK50" s="392">
        <v>68.034833847653104</v>
      </c>
      <c r="AL50" s="392">
        <v>10.157426814439001</v>
      </c>
      <c r="AM50" s="392">
        <v>10.365853658536601</v>
      </c>
      <c r="AN50" s="392">
        <v>289.30058462551801</v>
      </c>
      <c r="AO50" s="392">
        <v>287.01298701298703</v>
      </c>
      <c r="AP50" s="392">
        <v>0.38863888963080301</v>
      </c>
      <c r="AQ50" s="392">
        <v>0.38636363636363602</v>
      </c>
      <c r="AR50" s="392">
        <v>1.98555644601988</v>
      </c>
      <c r="AS50" s="392">
        <v>1.99260661797854</v>
      </c>
      <c r="AT50" s="580" t="s">
        <v>579</v>
      </c>
      <c r="AU50" s="462">
        <v>30.415406497988101</v>
      </c>
      <c r="AV50" s="392">
        <v>30.305107987658499</v>
      </c>
      <c r="AW50" s="392">
        <v>1.2238661051213999</v>
      </c>
      <c r="AX50" s="392">
        <v>1.24577226606539</v>
      </c>
      <c r="AY50" s="392">
        <v>29.5616091460282</v>
      </c>
      <c r="AZ50" s="392">
        <v>29.456455095566898</v>
      </c>
      <c r="BA50" s="392">
        <v>8.48003156244896E-2</v>
      </c>
      <c r="BB50" s="392">
        <v>8.57177210722085E-2</v>
      </c>
      <c r="BC50" s="392">
        <v>82.161208423295605</v>
      </c>
      <c r="BD50" s="392">
        <v>82.892614680619602</v>
      </c>
      <c r="BE50" s="392">
        <v>10.3744609070992</v>
      </c>
      <c r="BF50" s="392">
        <v>10.6764832340565</v>
      </c>
      <c r="BG50" s="392">
        <v>0.33784443718933099</v>
      </c>
      <c r="BH50" s="392">
        <v>0.33779136415743199</v>
      </c>
      <c r="BI50" s="580" t="s">
        <v>579</v>
      </c>
      <c r="BJ50" s="623">
        <v>124.276114849991</v>
      </c>
      <c r="BK50" s="623">
        <v>126.43743921277</v>
      </c>
      <c r="BL50" s="623">
        <v>8.5283059055316097E-3</v>
      </c>
      <c r="BM50" s="623">
        <v>8.4990193439218598E-3</v>
      </c>
      <c r="BN50" s="623">
        <v>146.70611318316699</v>
      </c>
      <c r="BO50" s="623">
        <v>147.687784014969</v>
      </c>
      <c r="BP50" s="623">
        <v>3.1266961951249899</v>
      </c>
      <c r="BQ50" s="623">
        <v>3.1657355679701999</v>
      </c>
      <c r="BR50" s="623">
        <v>30.188824469109999</v>
      </c>
      <c r="BS50" s="623">
        <v>30.088495575221199</v>
      </c>
      <c r="BT50" s="623">
        <v>110.880769230769</v>
      </c>
      <c r="BU50" s="623">
        <v>110.5</v>
      </c>
      <c r="BV50" s="623">
        <v>137.605116892034</v>
      </c>
      <c r="BW50" s="623">
        <v>140.27974912957899</v>
      </c>
    </row>
    <row r="51" spans="1:75" s="180" customFormat="1" ht="10.7" customHeight="1">
      <c r="A51" s="577" t="s">
        <v>572</v>
      </c>
      <c r="B51" s="624">
        <v>73.669329711932093</v>
      </c>
      <c r="C51" s="624">
        <v>74.9209983849655</v>
      </c>
      <c r="D51" s="624">
        <v>110.153846153846</v>
      </c>
      <c r="E51" s="624">
        <v>110</v>
      </c>
      <c r="F51" s="624">
        <v>292.25251040499597</v>
      </c>
      <c r="G51" s="624">
        <v>291.77718832891202</v>
      </c>
      <c r="H51" s="624">
        <v>82.029237994758802</v>
      </c>
      <c r="I51" s="624">
        <v>83.034534817890105</v>
      </c>
      <c r="J51" s="624">
        <v>15.5059985610428</v>
      </c>
      <c r="K51" s="624">
        <v>15.530800400977</v>
      </c>
      <c r="L51" s="624">
        <v>16.1182105758825</v>
      </c>
      <c r="M51" s="624">
        <v>16.284957140953701</v>
      </c>
      <c r="N51" s="624">
        <v>120.893070953625</v>
      </c>
      <c r="O51" s="624">
        <v>121.406999003352</v>
      </c>
      <c r="P51" s="577" t="s">
        <v>572</v>
      </c>
      <c r="Q51" s="378">
        <v>14.1061323276457</v>
      </c>
      <c r="R51" s="378">
        <v>14.0869420450398</v>
      </c>
      <c r="S51" s="378">
        <v>1.3230147700311501</v>
      </c>
      <c r="T51" s="378">
        <v>1.3218373539219499</v>
      </c>
      <c r="U51" s="378">
        <v>7.10548603051231E-3</v>
      </c>
      <c r="V51" s="378">
        <v>7.1442488796518797E-3</v>
      </c>
      <c r="W51" s="378">
        <v>2.6225545182750102E-3</v>
      </c>
      <c r="X51" s="378">
        <v>2.61889173263496E-3</v>
      </c>
      <c r="Y51" s="378">
        <v>0.763966487256313</v>
      </c>
      <c r="Z51" s="378">
        <v>0.77978236982951099</v>
      </c>
      <c r="AA51" s="378">
        <v>357.739013383204</v>
      </c>
      <c r="AB51" s="378">
        <v>358.01464605370199</v>
      </c>
      <c r="AC51" s="378">
        <v>23.651966714633598</v>
      </c>
      <c r="AD51" s="378">
        <v>23.939064200217601</v>
      </c>
      <c r="AE51" s="577" t="s">
        <v>572</v>
      </c>
      <c r="AF51" s="378">
        <v>5.2454212454212501E-2</v>
      </c>
      <c r="AG51" s="378">
        <v>5.2380952380952403E-2</v>
      </c>
      <c r="AH51" s="378">
        <v>0.94961348344409102</v>
      </c>
      <c r="AI51" s="378">
        <v>0.93185986521917796</v>
      </c>
      <c r="AJ51" s="378">
        <v>68.469714733838202</v>
      </c>
      <c r="AK51" s="378">
        <v>69.574993043478301</v>
      </c>
      <c r="AL51" s="378">
        <v>10.447952601299299</v>
      </c>
      <c r="AM51" s="378">
        <v>10.827837385569399</v>
      </c>
      <c r="AN51" s="378">
        <v>286.112459897137</v>
      </c>
      <c r="AO51" s="378">
        <v>285.71428571428601</v>
      </c>
      <c r="AP51" s="378">
        <v>0.389814944954257</v>
      </c>
      <c r="AQ51" s="378">
        <v>0.39128501556247203</v>
      </c>
      <c r="AR51" s="378">
        <v>1.98290389160712</v>
      </c>
      <c r="AS51" s="378">
        <v>1.9856312502256399</v>
      </c>
      <c r="AT51" s="577" t="s">
        <v>572</v>
      </c>
      <c r="AU51" s="576">
        <v>29.068268218706901</v>
      </c>
      <c r="AV51" s="378">
        <v>30.174187354272402</v>
      </c>
      <c r="AW51" s="378">
        <v>1.21025444164514</v>
      </c>
      <c r="AX51" s="378">
        <v>1.20054570259209</v>
      </c>
      <c r="AY51" s="378">
        <v>29.368091978718201</v>
      </c>
      <c r="AZ51" s="378">
        <v>29.330986854384999</v>
      </c>
      <c r="BA51" s="378">
        <v>8.4490137903987197E-2</v>
      </c>
      <c r="BB51" s="378">
        <v>8.4938477516398894E-2</v>
      </c>
      <c r="BC51" s="378">
        <v>82.668899312645905</v>
      </c>
      <c r="BD51" s="378">
        <v>83.361752112462597</v>
      </c>
      <c r="BE51" s="378">
        <v>10.7490639219209</v>
      </c>
      <c r="BF51" s="378">
        <v>10.925162635943799</v>
      </c>
      <c r="BG51" s="378">
        <v>0.33766036296156599</v>
      </c>
      <c r="BH51" s="378">
        <v>0.33961099104661902</v>
      </c>
      <c r="BI51" s="577" t="s">
        <v>572</v>
      </c>
      <c r="BJ51" s="624">
        <v>127.24629407564601</v>
      </c>
      <c r="BK51" s="624">
        <v>130.68789354877001</v>
      </c>
      <c r="BL51" s="624">
        <v>8.4723951970038999E-3</v>
      </c>
      <c r="BM51" s="624">
        <v>8.4605622428181402E-3</v>
      </c>
      <c r="BN51" s="624">
        <v>147.04443119274799</v>
      </c>
      <c r="BO51" s="624">
        <v>147.59157386287399</v>
      </c>
      <c r="BP51" s="624">
        <v>3.1507147104297402</v>
      </c>
      <c r="BQ51" s="624">
        <v>3.2</v>
      </c>
      <c r="BR51" s="624">
        <v>29.9936444953074</v>
      </c>
      <c r="BS51" s="624">
        <v>29.949901982139</v>
      </c>
      <c r="BT51" s="624">
        <v>110.153846153846</v>
      </c>
      <c r="BU51" s="624">
        <v>110</v>
      </c>
      <c r="BV51" s="624">
        <v>139.41041201348</v>
      </c>
      <c r="BW51" s="624">
        <v>140.040996543869</v>
      </c>
    </row>
    <row r="52" spans="1:75" s="180" customFormat="1" ht="10.7" customHeight="1" thickBot="1">
      <c r="A52" s="1703" t="s">
        <v>580</v>
      </c>
      <c r="B52" s="1746">
        <v>73.201941271744403</v>
      </c>
      <c r="C52" s="1746">
        <v>72.621998333838206</v>
      </c>
      <c r="D52" s="1746">
        <v>110</v>
      </c>
      <c r="E52" s="1746">
        <v>110</v>
      </c>
      <c r="F52" s="1746">
        <v>291.90884707515102</v>
      </c>
      <c r="G52" s="1746">
        <v>291.73849622066001</v>
      </c>
      <c r="H52" s="1746">
        <v>82.035205800392802</v>
      </c>
      <c r="I52" s="1746">
        <v>82.1018062397373</v>
      </c>
      <c r="J52" s="1746">
        <v>15.481563665870899</v>
      </c>
      <c r="K52" s="1746">
        <v>15.484452202311401</v>
      </c>
      <c r="L52" s="1746">
        <v>16.1032848792218</v>
      </c>
      <c r="M52" s="1746">
        <v>16.004190187976501</v>
      </c>
      <c r="N52" s="1746">
        <v>120.081700902653</v>
      </c>
      <c r="O52" s="1746">
        <v>119.26199594170799</v>
      </c>
      <c r="P52" s="1703" t="s">
        <v>580</v>
      </c>
      <c r="Q52" s="1747">
        <v>14.0735818039535</v>
      </c>
      <c r="R52" s="1747">
        <v>14.070094653364</v>
      </c>
      <c r="S52" s="1747">
        <v>1.3234083722197501</v>
      </c>
      <c r="T52" s="1747">
        <v>1.3233082706766901</v>
      </c>
      <c r="U52" s="1747">
        <v>7.0434234470618503E-3</v>
      </c>
      <c r="V52" s="1747">
        <v>6.9701866109051699E-3</v>
      </c>
      <c r="W52" s="1747">
        <v>2.61889173263496E-3</v>
      </c>
      <c r="X52" s="1747">
        <v>2.61889173263496E-3</v>
      </c>
      <c r="Y52" s="1747">
        <v>0.75456548455304095</v>
      </c>
      <c r="Z52" s="1747">
        <v>0.74523220758104403</v>
      </c>
      <c r="AA52" s="1747">
        <v>357.64190381287199</v>
      </c>
      <c r="AB52" s="1747">
        <v>357.49106272343198</v>
      </c>
      <c r="AC52" s="1747">
        <v>23.500639657379999</v>
      </c>
      <c r="AD52" s="1747">
        <v>23.253355882042101</v>
      </c>
      <c r="AE52" s="1703" t="s">
        <v>580</v>
      </c>
      <c r="AF52" s="1747">
        <v>5.2380952380952403E-2</v>
      </c>
      <c r="AG52" s="1747">
        <v>5.2380952380952403E-2</v>
      </c>
      <c r="AH52" s="1747">
        <v>0.92650721427360005</v>
      </c>
      <c r="AI52" s="1747">
        <v>0.92317814988384705</v>
      </c>
      <c r="AJ52" s="1747">
        <v>68.026439411837998</v>
      </c>
      <c r="AK52" s="1747">
        <v>67.501499551861798</v>
      </c>
      <c r="AL52" s="1747">
        <v>10.586328229432601</v>
      </c>
      <c r="AM52" s="1747">
        <v>10.5355911424412</v>
      </c>
      <c r="AN52" s="1747">
        <v>285.71703464546698</v>
      </c>
      <c r="AO52" s="1747">
        <v>285.71428571428601</v>
      </c>
      <c r="AP52" s="1747">
        <v>0.39426837700487</v>
      </c>
      <c r="AQ52" s="1747">
        <v>0.392646796359093</v>
      </c>
      <c r="AR52" s="1747">
        <v>1.96460976267961</v>
      </c>
      <c r="AS52" s="1747">
        <v>1.9514791324788201</v>
      </c>
      <c r="AT52" s="1703" t="s">
        <v>580</v>
      </c>
      <c r="AU52" s="1755">
        <v>30.176519151836601</v>
      </c>
      <c r="AV52" s="1747">
        <v>30.174187354272402</v>
      </c>
      <c r="AW52" s="1747">
        <v>1.23070916502301</v>
      </c>
      <c r="AX52" s="1747">
        <v>1.2273361227336099</v>
      </c>
      <c r="AY52" s="1747">
        <v>29.330900026537599</v>
      </c>
      <c r="AZ52" s="1747">
        <v>29.332551131969801</v>
      </c>
      <c r="BA52" s="1747">
        <v>8.3038461140294506E-2</v>
      </c>
      <c r="BB52" s="1747">
        <v>8.2405645535861397E-2</v>
      </c>
      <c r="BC52" s="1747">
        <v>82.415435288763305</v>
      </c>
      <c r="BD52" s="1747">
        <v>82.138590203106304</v>
      </c>
      <c r="BE52" s="1747">
        <v>10.3139126376036</v>
      </c>
      <c r="BF52" s="1747">
        <v>10.546702717214099</v>
      </c>
      <c r="BG52" s="1747">
        <v>0.34304125146193498</v>
      </c>
      <c r="BH52" s="1747">
        <v>0.347991142043657</v>
      </c>
      <c r="BI52" s="1703" t="s">
        <v>580</v>
      </c>
      <c r="BJ52" s="1746">
        <v>128.373092194023</v>
      </c>
      <c r="BK52" s="1746">
        <v>127.639823624971</v>
      </c>
      <c r="BL52" s="1746">
        <v>8.4605622428181402E-3</v>
      </c>
      <c r="BM52" s="1746">
        <v>8.4605622428181402E-3</v>
      </c>
      <c r="BN52" s="1746">
        <v>146.77265166448899</v>
      </c>
      <c r="BO52" s="1746">
        <v>146.31550944400101</v>
      </c>
      <c r="BP52" s="1746">
        <v>3.12617239498883</v>
      </c>
      <c r="BQ52" s="1746">
        <v>3.1003382187147701</v>
      </c>
      <c r="BR52" s="1746">
        <v>29.949222478912802</v>
      </c>
      <c r="BS52" s="1746">
        <v>29.9486788548714</v>
      </c>
      <c r="BT52" s="1746">
        <v>110</v>
      </c>
      <c r="BU52" s="1746">
        <v>110</v>
      </c>
      <c r="BV52" s="1746">
        <v>139.74603193967201</v>
      </c>
      <c r="BW52" s="1746">
        <v>139.68899653515999</v>
      </c>
    </row>
    <row r="53" spans="1:75" s="66" customFormat="1" ht="12.75" customHeight="1">
      <c r="A53" s="625" t="s">
        <v>394</v>
      </c>
      <c r="B53" s="626" t="s">
        <v>1612</v>
      </c>
      <c r="C53" s="34"/>
      <c r="D53" s="34"/>
      <c r="E53" s="34"/>
      <c r="F53" s="34"/>
      <c r="G53" s="34"/>
      <c r="H53" s="627" t="s">
        <v>393</v>
      </c>
      <c r="I53" s="2412" t="s">
        <v>1299</v>
      </c>
      <c r="J53" s="2412"/>
      <c r="K53" s="2412"/>
      <c r="L53" s="2412"/>
      <c r="M53" s="2412"/>
      <c r="N53" s="6"/>
      <c r="O53" s="6"/>
      <c r="P53" s="628"/>
      <c r="Q53" s="34"/>
      <c r="R53" s="34"/>
      <c r="S53" s="34"/>
      <c r="T53" s="34"/>
      <c r="U53" s="34"/>
      <c r="V53" s="34"/>
      <c r="AE53" s="628" t="s">
        <v>731</v>
      </c>
      <c r="AF53" s="2412" t="s">
        <v>1348</v>
      </c>
      <c r="AG53" s="2412"/>
      <c r="AH53" s="2412"/>
      <c r="AI53" s="2412"/>
      <c r="AJ53" s="2412"/>
      <c r="AK53" s="2412"/>
      <c r="AT53" s="1023"/>
      <c r="AU53" s="34"/>
      <c r="AV53" s="34"/>
      <c r="AW53" s="34"/>
      <c r="AX53" s="34"/>
      <c r="AY53" s="34"/>
      <c r="AZ53" s="34"/>
      <c r="BI53" s="628"/>
      <c r="BJ53" s="629"/>
      <c r="BK53" s="629"/>
      <c r="BL53" s="629"/>
      <c r="BM53" s="629"/>
      <c r="BN53" s="629"/>
      <c r="BO53" s="629"/>
      <c r="BP53" s="629"/>
      <c r="BQ53" s="629"/>
      <c r="BR53" s="629"/>
      <c r="BS53" s="629"/>
      <c r="BT53" s="629"/>
      <c r="BU53" s="629"/>
      <c r="BV53" s="629"/>
      <c r="BW53" s="629"/>
    </row>
    <row r="54" spans="1:75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251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251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251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251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</row>
    <row r="55" spans="1:75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251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251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251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251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  <c r="BT55" s="166"/>
    </row>
    <row r="56" spans="1:75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251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251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251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251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</row>
    <row r="57" spans="1:75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251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251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251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251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  <c r="BT57" s="166"/>
    </row>
    <row r="58" spans="1:75"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251"/>
      <c r="Q58" s="1251"/>
      <c r="R58" s="1251"/>
      <c r="S58" s="1251"/>
      <c r="T58" s="1251"/>
      <c r="U58" s="1251"/>
      <c r="V58" s="1251"/>
      <c r="W58" s="1251"/>
      <c r="X58" s="1251"/>
      <c r="Y58" s="1251"/>
      <c r="Z58" s="1251"/>
      <c r="AA58" s="1251"/>
      <c r="AB58" s="1251"/>
      <c r="AC58" s="1251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251"/>
      <c r="AU58" s="1251"/>
      <c r="AV58" s="1251"/>
      <c r="AW58" s="1251"/>
      <c r="AX58" s="1251"/>
      <c r="AY58" s="1251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</row>
    <row r="59" spans="1:75"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251"/>
      <c r="Q59" s="1251"/>
      <c r="R59" s="1251"/>
      <c r="S59" s="1251"/>
      <c r="T59" s="1251"/>
      <c r="U59" s="1251"/>
      <c r="V59" s="1251"/>
      <c r="W59" s="1251"/>
      <c r="X59" s="1251"/>
      <c r="Y59" s="1251"/>
      <c r="Z59" s="1251"/>
      <c r="AA59" s="1251"/>
      <c r="AB59" s="1251"/>
      <c r="AC59" s="1251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251"/>
      <c r="AU59" s="1251"/>
      <c r="AV59" s="1251"/>
      <c r="AW59" s="1251"/>
      <c r="AX59" s="1251"/>
      <c r="AY59" s="1251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</row>
    <row r="60" spans="1:75"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251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251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251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251"/>
      <c r="BJ60" s="166"/>
      <c r="BK60" s="166"/>
      <c r="BL60" s="166"/>
      <c r="BM60" s="166"/>
      <c r="BN60" s="166"/>
      <c r="BO60" s="166"/>
      <c r="BP60" s="166"/>
      <c r="BQ60" s="166"/>
      <c r="BR60" s="166"/>
      <c r="BS60" s="166"/>
      <c r="BT60" s="166"/>
      <c r="BU60" s="166"/>
      <c r="BV60" s="166"/>
      <c r="BW60" s="166"/>
    </row>
    <row r="61" spans="1:75"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251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251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251"/>
      <c r="AU61" s="1251"/>
      <c r="AV61" s="1251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J61" s="166"/>
      <c r="BK61" s="166"/>
      <c r="BL61" s="166"/>
      <c r="BM61" s="166"/>
      <c r="BN61" s="166"/>
      <c r="BO61" s="166"/>
      <c r="BP61" s="166"/>
      <c r="BQ61" s="166"/>
      <c r="BR61" s="166"/>
      <c r="BS61" s="166"/>
      <c r="BT61" s="166"/>
      <c r="BU61" s="166"/>
      <c r="BV61" s="166"/>
      <c r="BW61" s="166"/>
    </row>
    <row r="62" spans="1:75"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251"/>
      <c r="Q62" s="1251"/>
      <c r="R62" s="1251"/>
      <c r="S62" s="1251"/>
      <c r="T62" s="1251"/>
      <c r="U62" s="1251"/>
      <c r="V62" s="1251"/>
      <c r="W62" s="1251"/>
      <c r="X62" s="1251"/>
      <c r="Y62" s="1251"/>
      <c r="Z62" s="1251"/>
      <c r="AA62" s="1251"/>
      <c r="AB62" s="1251"/>
      <c r="AC62" s="1251"/>
      <c r="AE62" s="1251"/>
      <c r="AF62" s="1251"/>
      <c r="AG62" s="1251"/>
      <c r="AH62" s="1251"/>
      <c r="AI62" s="1251"/>
      <c r="AJ62" s="1251"/>
      <c r="AK62" s="1251"/>
      <c r="AL62" s="1251"/>
      <c r="AM62" s="1251"/>
      <c r="AN62" s="1251"/>
      <c r="AO62" s="1251"/>
      <c r="AP62" s="1251"/>
      <c r="AQ62" s="1251"/>
      <c r="AR62" s="1251"/>
      <c r="AS62" s="1251"/>
      <c r="AT62" s="1251"/>
      <c r="AU62" s="1251"/>
      <c r="AV62" s="1251"/>
      <c r="AW62" s="166"/>
      <c r="AX62" s="1251"/>
      <c r="AY62" s="1251"/>
      <c r="AZ62" s="1251"/>
      <c r="BA62" s="1251"/>
      <c r="BB62" s="1251"/>
      <c r="BC62" s="1251"/>
      <c r="BD62" s="1251"/>
      <c r="BE62" s="1251"/>
      <c r="BF62" s="1251"/>
      <c r="BG62" s="1251"/>
      <c r="BH62" s="1251"/>
    </row>
    <row r="63" spans="1:75"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251"/>
      <c r="Q63" s="1251"/>
      <c r="R63" s="1251"/>
      <c r="S63" s="1251"/>
      <c r="T63" s="1251"/>
      <c r="U63" s="1251"/>
      <c r="V63" s="1251"/>
      <c r="W63" s="1251"/>
      <c r="X63" s="1251"/>
      <c r="Y63" s="1251"/>
      <c r="Z63" s="1251"/>
      <c r="AA63" s="1251"/>
      <c r="AB63" s="1251"/>
      <c r="AC63" s="1251"/>
      <c r="AE63" s="1251"/>
      <c r="AF63" s="1251"/>
      <c r="AG63" s="1251"/>
      <c r="AH63" s="1251"/>
      <c r="AI63" s="1251"/>
      <c r="AJ63" s="1251"/>
      <c r="AK63" s="1251"/>
      <c r="AL63" s="1251"/>
      <c r="AM63" s="1251"/>
      <c r="AN63" s="1251"/>
      <c r="AO63" s="1251"/>
      <c r="AP63" s="1251"/>
      <c r="AQ63" s="1251"/>
      <c r="AR63" s="1251"/>
      <c r="AS63" s="1251"/>
      <c r="AT63" s="1251"/>
      <c r="AU63" s="1251"/>
      <c r="AV63" s="1251"/>
      <c r="AW63" s="1251"/>
      <c r="AX63" s="1251"/>
      <c r="AY63" s="1251"/>
      <c r="AZ63" s="1251"/>
      <c r="BA63" s="1251"/>
      <c r="BB63" s="1251"/>
      <c r="BC63" s="1251"/>
      <c r="BD63" s="1251"/>
      <c r="BE63" s="1251"/>
      <c r="BF63" s="1251"/>
      <c r="BG63" s="1251"/>
      <c r="BH63" s="1251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3:M53"/>
    <mergeCell ref="AF53:AK53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57"/>
  <sheetViews>
    <sheetView zoomScale="130" zoomScaleNormal="130" workbookViewId="0">
      <pane xSplit="1" ySplit="3" topLeftCell="B37" activePane="bottomRight" state="frozen"/>
      <selection activeCell="L47" sqref="L47"/>
      <selection pane="topRight" activeCell="L47" sqref="L47"/>
      <selection pane="bottomLeft" activeCell="L47" sqref="L47"/>
      <selection pane="bottomRight" activeCell="B47" sqref="B47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4" customFormat="1" ht="15" customHeight="1">
      <c r="A1" s="2460" t="s">
        <v>322</v>
      </c>
      <c r="B1" s="2460"/>
      <c r="C1" s="2460"/>
      <c r="D1" s="2460"/>
      <c r="E1" s="2460"/>
      <c r="F1" s="2460"/>
      <c r="G1" s="2460"/>
      <c r="H1" s="2460"/>
      <c r="I1" s="2461" t="s">
        <v>323</v>
      </c>
      <c r="J1" s="2461"/>
      <c r="K1" s="2461"/>
      <c r="L1" s="2461"/>
      <c r="M1" s="2461"/>
      <c r="N1" s="2461"/>
      <c r="O1" s="364"/>
      <c r="P1" s="2459" t="s">
        <v>1151</v>
      </c>
      <c r="Q1" s="2459"/>
      <c r="R1" s="2459"/>
      <c r="S1" s="2460" t="s">
        <v>887</v>
      </c>
      <c r="T1" s="2460"/>
      <c r="U1" s="2460"/>
      <c r="V1" s="2460"/>
      <c r="W1" s="2460"/>
      <c r="X1" s="2460"/>
      <c r="Y1" s="2460"/>
      <c r="Z1" s="2460"/>
      <c r="AA1" s="2460"/>
      <c r="AB1" s="2461" t="s">
        <v>323</v>
      </c>
      <c r="AC1" s="2461"/>
      <c r="AD1" s="2461"/>
      <c r="AE1" s="2461"/>
      <c r="AF1" s="2461"/>
      <c r="AG1" s="364"/>
      <c r="AH1" s="2459" t="s">
        <v>1152</v>
      </c>
      <c r="AI1" s="2459"/>
      <c r="AJ1" s="2459"/>
    </row>
    <row r="2" spans="1:36" s="17" customFormat="1" ht="10.5" customHeight="1">
      <c r="A2" s="44"/>
      <c r="B2" s="44"/>
      <c r="C2" s="44"/>
      <c r="E2" s="124"/>
      <c r="H2" s="70"/>
      <c r="I2" s="1037"/>
      <c r="J2" s="70"/>
      <c r="K2" s="70"/>
      <c r="L2" s="70"/>
      <c r="M2" s="70"/>
      <c r="N2" s="70"/>
      <c r="O2" s="44"/>
      <c r="P2" s="44"/>
      <c r="Q2" s="2429" t="s">
        <v>629</v>
      </c>
      <c r="R2" s="2429"/>
      <c r="W2" s="124"/>
      <c r="AI2" s="2429" t="s">
        <v>629</v>
      </c>
      <c r="AJ2" s="2429"/>
    </row>
    <row r="3" spans="1:36" s="89" customFormat="1" ht="39" customHeight="1">
      <c r="A3" s="1024" t="s">
        <v>976</v>
      </c>
      <c r="B3" s="1024" t="s">
        <v>630</v>
      </c>
      <c r="C3" s="1024" t="s">
        <v>390</v>
      </c>
      <c r="D3" s="1024" t="s">
        <v>532</v>
      </c>
      <c r="E3" s="1024" t="s">
        <v>533</v>
      </c>
      <c r="F3" s="1024" t="s">
        <v>871</v>
      </c>
      <c r="G3" s="1024" t="s">
        <v>872</v>
      </c>
      <c r="H3" s="1024" t="s">
        <v>306</v>
      </c>
      <c r="I3" s="1024" t="s">
        <v>873</v>
      </c>
      <c r="J3" s="1024" t="s">
        <v>535</v>
      </c>
      <c r="K3" s="1024" t="s">
        <v>874</v>
      </c>
      <c r="L3" s="1024" t="s">
        <v>244</v>
      </c>
      <c r="M3" s="1024" t="s">
        <v>875</v>
      </c>
      <c r="N3" s="1024" t="s">
        <v>876</v>
      </c>
      <c r="O3" s="1024" t="s">
        <v>877</v>
      </c>
      <c r="P3" s="1024" t="s">
        <v>878</v>
      </c>
      <c r="Q3" s="1024" t="s">
        <v>538</v>
      </c>
      <c r="R3" s="1024" t="s">
        <v>539</v>
      </c>
      <c r="S3" s="1024" t="s">
        <v>976</v>
      </c>
      <c r="T3" s="1024" t="s">
        <v>540</v>
      </c>
      <c r="U3" s="1024" t="s">
        <v>541</v>
      </c>
      <c r="V3" s="1024" t="s">
        <v>879</v>
      </c>
      <c r="W3" s="1024" t="s">
        <v>543</v>
      </c>
      <c r="X3" s="1145" t="s">
        <v>2127</v>
      </c>
      <c r="Y3" s="1024" t="s">
        <v>880</v>
      </c>
      <c r="Z3" s="1024" t="s">
        <v>881</v>
      </c>
      <c r="AA3" s="1024" t="s">
        <v>391</v>
      </c>
      <c r="AB3" s="1024" t="s">
        <v>882</v>
      </c>
      <c r="AC3" s="1024" t="s">
        <v>883</v>
      </c>
      <c r="AD3" s="1042" t="s">
        <v>884</v>
      </c>
      <c r="AE3" s="1145" t="s">
        <v>2128</v>
      </c>
      <c r="AF3" s="1024" t="s">
        <v>632</v>
      </c>
      <c r="AG3" s="1024" t="s">
        <v>549</v>
      </c>
      <c r="AH3" s="1024" t="s">
        <v>1636</v>
      </c>
      <c r="AI3" s="1024" t="s">
        <v>1350</v>
      </c>
      <c r="AJ3" s="1024" t="s">
        <v>1349</v>
      </c>
    </row>
    <row r="4" spans="1:36" ht="12.2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3">
        <v>-0.52</v>
      </c>
      <c r="Z4" s="163">
        <v>-0.01</v>
      </c>
      <c r="AA4" s="163">
        <v>5.81</v>
      </c>
      <c r="AB4" s="163">
        <v>3.45</v>
      </c>
      <c r="AC4" s="163">
        <v>-1.58</v>
      </c>
      <c r="AD4" s="163">
        <v>1.3</v>
      </c>
      <c r="AE4" s="163">
        <v>0.06</v>
      </c>
      <c r="AF4" s="163">
        <v>1.92</v>
      </c>
      <c r="AG4" s="163">
        <v>-4.8499999999999996</v>
      </c>
      <c r="AH4" s="163">
        <v>5.0599999999999996</v>
      </c>
      <c r="AI4" s="163">
        <v>0</v>
      </c>
      <c r="AJ4" s="163">
        <v>-9.07</v>
      </c>
    </row>
    <row r="5" spans="1:36" ht="12.2" customHeight="1">
      <c r="A5" s="319" t="s">
        <v>192</v>
      </c>
      <c r="B5" s="315">
        <v>25.89</v>
      </c>
      <c r="C5" s="315">
        <v>-6.34</v>
      </c>
      <c r="D5" s="315">
        <v>-0.01</v>
      </c>
      <c r="E5" s="315">
        <v>8.98</v>
      </c>
      <c r="F5" s="315">
        <v>4.93</v>
      </c>
      <c r="G5" s="315">
        <v>18.23</v>
      </c>
      <c r="H5" s="315">
        <v>18.39</v>
      </c>
      <c r="I5" s="315">
        <v>0.01</v>
      </c>
      <c r="J5" s="315">
        <v>3.74</v>
      </c>
      <c r="K5" s="315">
        <v>5.5</v>
      </c>
      <c r="L5" s="315">
        <v>-6.22</v>
      </c>
      <c r="M5" s="315">
        <v>9.65</v>
      </c>
      <c r="N5" s="315">
        <v>5.92</v>
      </c>
      <c r="O5" s="315">
        <v>7.84</v>
      </c>
      <c r="P5" s="315">
        <v>0</v>
      </c>
      <c r="Q5" s="315">
        <v>3.05</v>
      </c>
      <c r="R5" s="315">
        <v>19.25</v>
      </c>
      <c r="S5" s="319" t="s">
        <v>192</v>
      </c>
      <c r="T5" s="315">
        <v>20.96</v>
      </c>
      <c r="U5" s="315">
        <v>0</v>
      </c>
      <c r="V5" s="315">
        <v>-0.84</v>
      </c>
      <c r="W5" s="315">
        <v>6.77</v>
      </c>
      <c r="X5" s="315">
        <v>-0.05</v>
      </c>
      <c r="Y5" s="332">
        <v>11.69</v>
      </c>
      <c r="Z5" s="332">
        <v>0.01</v>
      </c>
      <c r="AA5" s="332">
        <v>12.92</v>
      </c>
      <c r="AB5" s="332">
        <v>13.77</v>
      </c>
      <c r="AC5" s="332">
        <v>23.15</v>
      </c>
      <c r="AD5" s="332">
        <v>3.56</v>
      </c>
      <c r="AE5" s="332">
        <v>29.66</v>
      </c>
      <c r="AF5" s="332">
        <v>-1.1399999999999999</v>
      </c>
      <c r="AG5" s="332">
        <v>8.27</v>
      </c>
      <c r="AH5" s="332">
        <v>5.23</v>
      </c>
      <c r="AI5" s="332">
        <v>0</v>
      </c>
      <c r="AJ5" s="332">
        <v>6.65</v>
      </c>
    </row>
    <row r="6" spans="1:36" s="170" customFormat="1" ht="12.2" customHeight="1">
      <c r="A6" s="168" t="s">
        <v>757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8" t="s">
        <v>757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26">
        <v>-14.8</v>
      </c>
      <c r="Z6" s="526">
        <v>-0.01</v>
      </c>
      <c r="AA6" s="526">
        <v>-6.01</v>
      </c>
      <c r="AB6" s="526">
        <v>-2.57</v>
      </c>
      <c r="AC6" s="526">
        <v>-8.85</v>
      </c>
      <c r="AD6" s="526">
        <v>-17.760000000000002</v>
      </c>
      <c r="AE6" s="526">
        <v>-12.17</v>
      </c>
      <c r="AF6" s="526">
        <v>-25.91</v>
      </c>
      <c r="AG6" s="526">
        <v>-4.99</v>
      </c>
      <c r="AH6" s="526">
        <v>-2.56</v>
      </c>
      <c r="AI6" s="526">
        <v>0</v>
      </c>
      <c r="AJ6" s="526">
        <v>-2.48</v>
      </c>
    </row>
    <row r="7" spans="1:36" s="170" customFormat="1" ht="12.2" customHeight="1">
      <c r="A7" s="319" t="s">
        <v>866</v>
      </c>
      <c r="B7" s="315">
        <v>-10.71</v>
      </c>
      <c r="C7" s="315">
        <v>5.21</v>
      </c>
      <c r="D7" s="315">
        <v>0</v>
      </c>
      <c r="E7" s="315">
        <v>-3.35</v>
      </c>
      <c r="F7" s="315">
        <v>2.37</v>
      </c>
      <c r="G7" s="315">
        <v>2.58</v>
      </c>
      <c r="H7" s="315">
        <v>2.92</v>
      </c>
      <c r="I7" s="315">
        <v>0.02</v>
      </c>
      <c r="J7" s="315">
        <v>-6.75</v>
      </c>
      <c r="K7" s="315">
        <v>-5.37</v>
      </c>
      <c r="L7" s="315">
        <v>0.04</v>
      </c>
      <c r="M7" s="315">
        <v>-19.53</v>
      </c>
      <c r="N7" s="315">
        <v>-1.86</v>
      </c>
      <c r="O7" s="315">
        <v>0.35</v>
      </c>
      <c r="P7" s="315">
        <v>0</v>
      </c>
      <c r="Q7" s="315">
        <v>-4.8600000000000003</v>
      </c>
      <c r="R7" s="315">
        <v>-3.26</v>
      </c>
      <c r="S7" s="319" t="s">
        <v>866</v>
      </c>
      <c r="T7" s="315">
        <v>-1.79</v>
      </c>
      <c r="U7" s="315">
        <v>0</v>
      </c>
      <c r="V7" s="315">
        <v>-4.99</v>
      </c>
      <c r="W7" s="315">
        <v>-2.56</v>
      </c>
      <c r="X7" s="315">
        <v>0.01</v>
      </c>
      <c r="Y7" s="332">
        <v>-0.22</v>
      </c>
      <c r="Z7" s="332">
        <v>0.01</v>
      </c>
      <c r="AA7" s="332">
        <v>0.3</v>
      </c>
      <c r="AB7" s="332">
        <v>-0.15</v>
      </c>
      <c r="AC7" s="332">
        <v>3.24</v>
      </c>
      <c r="AD7" s="332">
        <v>2.04</v>
      </c>
      <c r="AE7" s="332">
        <v>0.57999999999999996</v>
      </c>
      <c r="AF7" s="332">
        <v>-36.24</v>
      </c>
      <c r="AG7" s="332">
        <v>-0.89</v>
      </c>
      <c r="AH7" s="332">
        <v>1.76</v>
      </c>
      <c r="AI7" s="332">
        <v>0</v>
      </c>
      <c r="AJ7" s="332">
        <v>-2.96</v>
      </c>
    </row>
    <row r="8" spans="1:36" s="267" customFormat="1" ht="12.2" customHeight="1">
      <c r="A8" s="680" t="s">
        <v>1051</v>
      </c>
      <c r="B8" s="240">
        <v>3.09</v>
      </c>
      <c r="C8" s="240">
        <v>0.17</v>
      </c>
      <c r="D8" s="240">
        <v>0</v>
      </c>
      <c r="E8" s="240">
        <v>-1.3</v>
      </c>
      <c r="F8" s="240">
        <v>0.42</v>
      </c>
      <c r="G8" s="240">
        <v>4.9400000000000004</v>
      </c>
      <c r="H8" s="240">
        <v>4.9000000000000004</v>
      </c>
      <c r="I8" s="240">
        <v>0.06</v>
      </c>
      <c r="J8" s="240">
        <v>-0.86</v>
      </c>
      <c r="K8" s="240">
        <v>-17.149999999999999</v>
      </c>
      <c r="L8" s="240">
        <v>-52.09</v>
      </c>
      <c r="M8" s="240">
        <v>-2.16</v>
      </c>
      <c r="N8" s="240">
        <v>1.22</v>
      </c>
      <c r="O8" s="240">
        <v>-1.54</v>
      </c>
      <c r="P8" s="240">
        <v>0</v>
      </c>
      <c r="Q8" s="240">
        <v>-0.71</v>
      </c>
      <c r="R8" s="240">
        <v>13.34</v>
      </c>
      <c r="S8" s="680" t="s">
        <v>1051</v>
      </c>
      <c r="T8" s="240">
        <v>-0.86</v>
      </c>
      <c r="U8" s="240">
        <v>0</v>
      </c>
      <c r="V8" s="240">
        <v>0.86</v>
      </c>
      <c r="W8" s="240">
        <v>-1.28</v>
      </c>
      <c r="X8" s="240">
        <v>-0.02</v>
      </c>
      <c r="Y8" s="240">
        <v>-2.2799999999999998</v>
      </c>
      <c r="Z8" s="240">
        <v>-0.01</v>
      </c>
      <c r="AA8" s="240">
        <v>12.42</v>
      </c>
      <c r="AB8" s="240">
        <v>1.42</v>
      </c>
      <c r="AC8" s="240">
        <v>-0.51</v>
      </c>
      <c r="AD8" s="240">
        <v>0.16</v>
      </c>
      <c r="AE8" s="240">
        <v>6.06</v>
      </c>
      <c r="AF8" s="240">
        <v>-32.82</v>
      </c>
      <c r="AG8" s="240">
        <v>2.67</v>
      </c>
      <c r="AH8" s="240">
        <v>-4.33</v>
      </c>
      <c r="AI8" s="240">
        <v>0.01</v>
      </c>
      <c r="AJ8" s="240">
        <v>12.04</v>
      </c>
    </row>
    <row r="9" spans="1:36" s="267" customFormat="1" ht="12.2" customHeight="1">
      <c r="A9" s="754" t="s">
        <v>1105</v>
      </c>
      <c r="B9" s="392">
        <v>-18.440000000000001</v>
      </c>
      <c r="C9" s="392">
        <v>-0.22</v>
      </c>
      <c r="D9" s="392">
        <v>-0.01</v>
      </c>
      <c r="E9" s="392">
        <v>-13.97</v>
      </c>
      <c r="F9" s="392">
        <v>0.64</v>
      </c>
      <c r="G9" s="392">
        <v>-17.73</v>
      </c>
      <c r="H9" s="392">
        <v>-17.670000000000002</v>
      </c>
      <c r="I9" s="392">
        <v>-0.01</v>
      </c>
      <c r="J9" s="392">
        <v>-5.75</v>
      </c>
      <c r="K9" s="392">
        <v>-10.130000000000001</v>
      </c>
      <c r="L9" s="392">
        <v>-12.59</v>
      </c>
      <c r="M9" s="392">
        <v>-17.21</v>
      </c>
      <c r="N9" s="392">
        <v>-6.77</v>
      </c>
      <c r="O9" s="392">
        <v>-15.23</v>
      </c>
      <c r="P9" s="392">
        <v>-99.43</v>
      </c>
      <c r="Q9" s="392">
        <v>-5.44</v>
      </c>
      <c r="R9" s="392">
        <v>-21.92</v>
      </c>
      <c r="S9" s="754" t="s">
        <v>1105</v>
      </c>
      <c r="T9" s="392">
        <v>-22.06</v>
      </c>
      <c r="U9" s="392">
        <v>0.01</v>
      </c>
      <c r="V9" s="392">
        <v>-3.09</v>
      </c>
      <c r="W9" s="392">
        <v>-3.09</v>
      </c>
      <c r="X9" s="392">
        <v>-0.01</v>
      </c>
      <c r="Y9" s="392">
        <v>-39.450000000000003</v>
      </c>
      <c r="Z9" s="392">
        <v>-0.01</v>
      </c>
      <c r="AA9" s="392">
        <v>-9.57</v>
      </c>
      <c r="AB9" s="392">
        <v>-7.17</v>
      </c>
      <c r="AC9" s="392">
        <v>-18.239999999999998</v>
      </c>
      <c r="AD9" s="392">
        <v>-2.5499999999999998</v>
      </c>
      <c r="AE9" s="392">
        <v>-3.8</v>
      </c>
      <c r="AF9" s="392">
        <v>-31.24</v>
      </c>
      <c r="AG9" s="392">
        <v>-9.1199999999999992</v>
      </c>
      <c r="AH9" s="392">
        <v>-3.91</v>
      </c>
      <c r="AI9" s="392">
        <v>0</v>
      </c>
      <c r="AJ9" s="392">
        <v>-7.63</v>
      </c>
    </row>
    <row r="10" spans="1:36" s="267" customFormat="1" ht="12.2" customHeight="1">
      <c r="A10" s="828" t="s">
        <v>1231</v>
      </c>
      <c r="B10" s="378">
        <v>-3.89</v>
      </c>
      <c r="C10" s="378">
        <v>-0.76</v>
      </c>
      <c r="D10" s="378">
        <v>-0.08</v>
      </c>
      <c r="E10" s="378">
        <v>-4.84</v>
      </c>
      <c r="F10" s="378">
        <v>-7.82</v>
      </c>
      <c r="G10" s="378">
        <v>-1.31</v>
      </c>
      <c r="H10" s="378">
        <v>-1.52</v>
      </c>
      <c r="I10" s="378">
        <v>-0.08</v>
      </c>
      <c r="J10" s="378">
        <v>-5.91</v>
      </c>
      <c r="K10" s="378">
        <v>1.28</v>
      </c>
      <c r="L10" s="378">
        <v>-2.61</v>
      </c>
      <c r="M10" s="378">
        <v>19.25</v>
      </c>
      <c r="N10" s="378">
        <v>0.05</v>
      </c>
      <c r="O10" s="378">
        <v>-6.68</v>
      </c>
      <c r="P10" s="378">
        <v>-5.53</v>
      </c>
      <c r="Q10" s="378">
        <v>-6.41</v>
      </c>
      <c r="R10" s="378">
        <v>2.8</v>
      </c>
      <c r="S10" s="828" t="s">
        <v>1231</v>
      </c>
      <c r="T10" s="378">
        <v>-7.3</v>
      </c>
      <c r="U10" s="378">
        <v>-0.01</v>
      </c>
      <c r="V10" s="378">
        <v>-2.68</v>
      </c>
      <c r="W10" s="378">
        <v>-3.89</v>
      </c>
      <c r="X10" s="378">
        <v>0</v>
      </c>
      <c r="Y10" s="378">
        <v>-13.36</v>
      </c>
      <c r="Z10" s="378">
        <v>0.01</v>
      </c>
      <c r="AA10" s="378">
        <v>-3.69</v>
      </c>
      <c r="AB10" s="378">
        <v>-0.55000000000000004</v>
      </c>
      <c r="AC10" s="378">
        <v>-3.04</v>
      </c>
      <c r="AD10" s="378">
        <v>-9.5299999999999994</v>
      </c>
      <c r="AE10" s="378">
        <v>-5.73</v>
      </c>
      <c r="AF10" s="378">
        <v>0.35</v>
      </c>
      <c r="AG10" s="378">
        <v>-0.56999999999999995</v>
      </c>
      <c r="AH10" s="378">
        <v>-4.17</v>
      </c>
      <c r="AI10" s="378">
        <v>0</v>
      </c>
      <c r="AJ10" s="378">
        <v>-15.21</v>
      </c>
    </row>
    <row r="11" spans="1:36" s="267" customFormat="1" ht="12.2" customHeight="1">
      <c r="A11" s="951" t="s">
        <v>1263</v>
      </c>
      <c r="B11" s="392">
        <v>4.01</v>
      </c>
      <c r="C11" s="392">
        <v>-2.72</v>
      </c>
      <c r="D11" s="392">
        <v>0.03</v>
      </c>
      <c r="E11" s="392">
        <v>0.15</v>
      </c>
      <c r="F11" s="392">
        <v>-2.1</v>
      </c>
      <c r="G11" s="392">
        <v>3.51</v>
      </c>
      <c r="H11" s="392">
        <v>3.38</v>
      </c>
      <c r="I11" s="392">
        <v>-0.6</v>
      </c>
      <c r="J11" s="392">
        <v>4.72</v>
      </c>
      <c r="K11" s="392">
        <v>-1.24</v>
      </c>
      <c r="L11" s="392">
        <v>-7.34</v>
      </c>
      <c r="M11" s="392">
        <v>-8.4</v>
      </c>
      <c r="N11" s="392">
        <v>-0.4</v>
      </c>
      <c r="O11" s="392">
        <v>-5.53</v>
      </c>
      <c r="P11" s="392">
        <v>-13.2</v>
      </c>
      <c r="Q11" s="392">
        <v>5.32</v>
      </c>
      <c r="R11" s="392">
        <v>3.58</v>
      </c>
      <c r="S11" s="951" t="s">
        <v>1263</v>
      </c>
      <c r="T11" s="392">
        <v>1.07</v>
      </c>
      <c r="U11" s="392">
        <v>-0.05</v>
      </c>
      <c r="V11" s="392">
        <v>-0.2</v>
      </c>
      <c r="W11" s="392">
        <v>-6.8</v>
      </c>
      <c r="X11" s="392">
        <v>-2.5099999999999998</v>
      </c>
      <c r="Y11" s="392">
        <v>8.65</v>
      </c>
      <c r="Z11" s="392">
        <v>0.01</v>
      </c>
      <c r="AA11" s="392">
        <v>1.68</v>
      </c>
      <c r="AB11" s="392">
        <v>-1.86</v>
      </c>
      <c r="AC11" s="392">
        <v>0.46</v>
      </c>
      <c r="AD11" s="392">
        <v>-3.74</v>
      </c>
      <c r="AE11" s="392">
        <v>2.76</v>
      </c>
      <c r="AF11" s="392">
        <v>-57.91</v>
      </c>
      <c r="AG11" s="392">
        <v>-0.33</v>
      </c>
      <c r="AH11" s="392">
        <v>3.75</v>
      </c>
      <c r="AI11" s="392">
        <v>-0.01</v>
      </c>
      <c r="AJ11" s="392">
        <v>-2.52</v>
      </c>
    </row>
    <row r="12" spans="1:36" s="267" customFormat="1" ht="12.2" customHeight="1">
      <c r="A12" s="1058" t="s">
        <v>1392</v>
      </c>
      <c r="B12" s="378">
        <v>-4.29</v>
      </c>
      <c r="C12" s="378">
        <v>-3.74</v>
      </c>
      <c r="D12" s="378">
        <v>-0.21</v>
      </c>
      <c r="E12" s="378">
        <v>-1.83</v>
      </c>
      <c r="F12" s="378">
        <v>2.38</v>
      </c>
      <c r="G12" s="378">
        <v>0.88</v>
      </c>
      <c r="H12" s="378">
        <v>1.1200000000000001</v>
      </c>
      <c r="I12" s="378">
        <v>-0.54</v>
      </c>
      <c r="J12" s="378">
        <v>-6.07</v>
      </c>
      <c r="K12" s="378">
        <v>-7.22</v>
      </c>
      <c r="L12" s="378">
        <v>-23.72</v>
      </c>
      <c r="M12" s="378">
        <v>1.52</v>
      </c>
      <c r="N12" s="378">
        <v>0.28000000000000003</v>
      </c>
      <c r="O12" s="378">
        <v>6.39</v>
      </c>
      <c r="P12" s="378">
        <v>-3.88</v>
      </c>
      <c r="Q12" s="378">
        <v>-5.28</v>
      </c>
      <c r="R12" s="378">
        <v>-7.46</v>
      </c>
      <c r="S12" s="1058" t="s">
        <v>1392</v>
      </c>
      <c r="T12" s="378">
        <v>2.41</v>
      </c>
      <c r="U12" s="378">
        <v>0.05</v>
      </c>
      <c r="V12" s="378">
        <v>-13.86</v>
      </c>
      <c r="W12" s="378">
        <v>-5.49</v>
      </c>
      <c r="X12" s="378">
        <v>2.58</v>
      </c>
      <c r="Y12" s="378">
        <v>-6.27</v>
      </c>
      <c r="Z12" s="378">
        <v>-0.01</v>
      </c>
      <c r="AA12" s="378">
        <v>2.57</v>
      </c>
      <c r="AB12" s="378">
        <v>0.84</v>
      </c>
      <c r="AC12" s="378">
        <v>-5.58</v>
      </c>
      <c r="AD12" s="378">
        <v>-3.02</v>
      </c>
      <c r="AE12" s="378">
        <v>-4.18</v>
      </c>
      <c r="AF12" s="378">
        <v>0</v>
      </c>
      <c r="AG12" s="378">
        <v>1.03</v>
      </c>
      <c r="AH12" s="378">
        <v>2.52</v>
      </c>
      <c r="AI12" s="378">
        <v>-0.01</v>
      </c>
      <c r="AJ12" s="378">
        <v>0.55000000000000004</v>
      </c>
    </row>
    <row r="13" spans="1:36" s="267" customFormat="1" ht="12.2" customHeight="1">
      <c r="A13" s="603" t="s">
        <v>1511</v>
      </c>
      <c r="B13" s="392">
        <v>-4.54</v>
      </c>
      <c r="C13" s="392">
        <v>-0.92</v>
      </c>
      <c r="D13" s="392">
        <v>0.28000000000000003</v>
      </c>
      <c r="E13" s="392">
        <v>1.18</v>
      </c>
      <c r="F13" s="392">
        <v>-3.75</v>
      </c>
      <c r="G13" s="392">
        <v>-1.86</v>
      </c>
      <c r="H13" s="392">
        <v>-1.72</v>
      </c>
      <c r="I13" s="392">
        <v>0.45</v>
      </c>
      <c r="J13" s="392">
        <v>-0.16</v>
      </c>
      <c r="K13" s="392">
        <v>1.68</v>
      </c>
      <c r="L13" s="392">
        <v>1.4</v>
      </c>
      <c r="M13" s="392">
        <v>2.41</v>
      </c>
      <c r="N13" s="392">
        <v>-0.33</v>
      </c>
      <c r="O13" s="392">
        <v>-2.34</v>
      </c>
      <c r="P13" s="392">
        <v>-6.34</v>
      </c>
      <c r="Q13" s="392">
        <v>-4.32</v>
      </c>
      <c r="R13" s="392">
        <v>-0.55000000000000004</v>
      </c>
      <c r="S13" s="603" t="s">
        <v>1511</v>
      </c>
      <c r="T13" s="392">
        <v>-4.04</v>
      </c>
      <c r="U13" s="392">
        <v>0</v>
      </c>
      <c r="V13" s="392">
        <v>-25.37</v>
      </c>
      <c r="W13" s="392">
        <v>4.0599999999999996</v>
      </c>
      <c r="X13" s="392">
        <v>-0.01</v>
      </c>
      <c r="Y13" s="392">
        <v>-0.19</v>
      </c>
      <c r="Z13" s="392">
        <v>0</v>
      </c>
      <c r="AA13" s="392">
        <v>-3.63</v>
      </c>
      <c r="AB13" s="392">
        <v>1.1100000000000001</v>
      </c>
      <c r="AC13" s="392">
        <v>-3.46</v>
      </c>
      <c r="AD13" s="392">
        <v>-10.28</v>
      </c>
      <c r="AE13" s="392">
        <v>2.1800000000000002</v>
      </c>
      <c r="AF13" s="392">
        <v>0</v>
      </c>
      <c r="AG13" s="392">
        <v>-1.04</v>
      </c>
      <c r="AH13" s="392">
        <v>7.98</v>
      </c>
      <c r="AI13" s="392">
        <v>0</v>
      </c>
      <c r="AJ13" s="392">
        <v>-2.93</v>
      </c>
    </row>
    <row r="14" spans="1:36" s="297" customFormat="1" ht="12.2" customHeight="1">
      <c r="A14" s="561" t="s">
        <v>1602</v>
      </c>
      <c r="B14" s="378">
        <v>-2.21</v>
      </c>
      <c r="C14" s="378">
        <v>-0.47</v>
      </c>
      <c r="D14" s="378">
        <v>-0.16</v>
      </c>
      <c r="E14" s="378">
        <v>-4.1500000000000004</v>
      </c>
      <c r="F14" s="378">
        <v>-2.89</v>
      </c>
      <c r="G14" s="378">
        <v>-0.97</v>
      </c>
      <c r="H14" s="378">
        <v>-1.1299999999999999</v>
      </c>
      <c r="I14" s="378">
        <v>0.81</v>
      </c>
      <c r="J14" s="378">
        <v>-8.69</v>
      </c>
      <c r="K14" s="378">
        <v>-1.1000000000000001</v>
      </c>
      <c r="L14" s="378">
        <v>0</v>
      </c>
      <c r="M14" s="378">
        <v>0.3</v>
      </c>
      <c r="N14" s="378">
        <v>-1.4</v>
      </c>
      <c r="O14" s="378">
        <v>-3.45</v>
      </c>
      <c r="P14" s="378">
        <v>9.74</v>
      </c>
      <c r="Q14" s="378">
        <v>-0.86</v>
      </c>
      <c r="R14" s="378">
        <v>-4.4400000000000004</v>
      </c>
      <c r="S14" s="561" t="s">
        <v>1602</v>
      </c>
      <c r="T14" s="378">
        <v>-11.79</v>
      </c>
      <c r="U14" s="378">
        <v>0</v>
      </c>
      <c r="V14" s="378">
        <v>-2.67</v>
      </c>
      <c r="W14" s="378">
        <v>2.9</v>
      </c>
      <c r="X14" s="378">
        <v>0.01</v>
      </c>
      <c r="Y14" s="378">
        <v>-9.75</v>
      </c>
      <c r="Z14" s="378">
        <v>-0.02</v>
      </c>
      <c r="AA14" s="378">
        <v>-3.35</v>
      </c>
      <c r="AB14" s="378">
        <v>-2.94</v>
      </c>
      <c r="AC14" s="378">
        <v>-0.49</v>
      </c>
      <c r="AD14" s="378">
        <v>-5.18</v>
      </c>
      <c r="AE14" s="378">
        <v>2.61</v>
      </c>
      <c r="AF14" s="378">
        <v>0.16</v>
      </c>
      <c r="AG14" s="378">
        <v>-0.76</v>
      </c>
      <c r="AH14" s="378">
        <v>-0.63</v>
      </c>
      <c r="AI14" s="378">
        <v>0</v>
      </c>
      <c r="AJ14" s="378">
        <v>-3.12</v>
      </c>
    </row>
    <row r="15" spans="1:36" s="297" customFormat="1" ht="12.2" customHeight="1">
      <c r="A15" s="640" t="s">
        <v>1668</v>
      </c>
      <c r="B15" s="568">
        <v>9.42</v>
      </c>
      <c r="C15" s="568">
        <v>0.1</v>
      </c>
      <c r="D15" s="568">
        <v>0.16</v>
      </c>
      <c r="E15" s="568">
        <v>10.14</v>
      </c>
      <c r="F15" s="568">
        <v>9.59</v>
      </c>
      <c r="G15" s="568">
        <v>6.06</v>
      </c>
      <c r="H15" s="568">
        <v>5.83</v>
      </c>
      <c r="I15" s="568">
        <v>-0.17</v>
      </c>
      <c r="J15" s="568">
        <v>1.63</v>
      </c>
      <c r="K15" s="568">
        <v>-1.74</v>
      </c>
      <c r="L15" s="568">
        <v>0</v>
      </c>
      <c r="M15" s="568">
        <v>-2.66</v>
      </c>
      <c r="N15" s="568">
        <v>2.21</v>
      </c>
      <c r="O15" s="568">
        <v>3.03</v>
      </c>
      <c r="P15" s="568">
        <v>-16.13</v>
      </c>
      <c r="Q15" s="568">
        <v>3.65</v>
      </c>
      <c r="R15" s="568">
        <v>8.8800000000000008</v>
      </c>
      <c r="S15" s="640" t="s">
        <v>1668</v>
      </c>
      <c r="T15" s="1048">
        <v>12.92</v>
      </c>
      <c r="U15" s="1048">
        <v>0</v>
      </c>
      <c r="V15" s="1048">
        <v>5.84</v>
      </c>
      <c r="W15" s="1048">
        <v>2.21</v>
      </c>
      <c r="X15" s="1048">
        <v>-1.64</v>
      </c>
      <c r="Y15" s="1048">
        <v>-3.71</v>
      </c>
      <c r="Z15" s="1048">
        <v>0.02</v>
      </c>
      <c r="AA15" s="1048">
        <v>5.92</v>
      </c>
      <c r="AB15" s="1048">
        <v>3.59</v>
      </c>
      <c r="AC15" s="1048">
        <v>9.41</v>
      </c>
      <c r="AD15" s="1048">
        <v>-6.69</v>
      </c>
      <c r="AE15" s="1048">
        <v>3.32</v>
      </c>
      <c r="AF15" s="1048">
        <v>-79.510000000000005</v>
      </c>
      <c r="AG15" s="1048">
        <v>3.41</v>
      </c>
      <c r="AH15" s="1048">
        <v>-3.65</v>
      </c>
      <c r="AI15" s="1048">
        <v>0</v>
      </c>
      <c r="AJ15" s="1048">
        <v>12.51</v>
      </c>
    </row>
    <row r="16" spans="1:36" s="297" customFormat="1" ht="12.2" customHeight="1">
      <c r="A16" s="588" t="s">
        <v>2018</v>
      </c>
      <c r="B16" s="642">
        <v>-8.39</v>
      </c>
      <c r="C16" s="642">
        <v>-9.24</v>
      </c>
      <c r="D16" s="642">
        <v>0</v>
      </c>
      <c r="E16" s="642">
        <v>-3.81</v>
      </c>
      <c r="F16" s="642">
        <v>-3.74</v>
      </c>
      <c r="G16" s="642">
        <v>-12.29</v>
      </c>
      <c r="H16" s="642">
        <v>-12.24</v>
      </c>
      <c r="I16" s="642">
        <v>-1.06</v>
      </c>
      <c r="J16" s="642">
        <v>-5.88</v>
      </c>
      <c r="K16" s="642">
        <v>-2.3199999999999998</v>
      </c>
      <c r="L16" s="642">
        <v>0</v>
      </c>
      <c r="M16" s="642">
        <v>-19.09</v>
      </c>
      <c r="N16" s="642">
        <v>-1.86</v>
      </c>
      <c r="O16" s="642">
        <v>-5.71</v>
      </c>
      <c r="P16" s="642">
        <v>-11.1</v>
      </c>
      <c r="Q16" s="642">
        <v>-6.46</v>
      </c>
      <c r="R16" s="642">
        <v>-11.06</v>
      </c>
      <c r="S16" s="588" t="s">
        <v>2018</v>
      </c>
      <c r="T16" s="719">
        <v>-13.61</v>
      </c>
      <c r="U16" s="719">
        <v>0</v>
      </c>
      <c r="V16" s="719">
        <v>-22.47</v>
      </c>
      <c r="W16" s="719">
        <v>-11.25</v>
      </c>
      <c r="X16" s="719">
        <v>1.06</v>
      </c>
      <c r="Y16" s="719">
        <v>37.840000000000003</v>
      </c>
      <c r="Z16" s="719">
        <v>-0.05</v>
      </c>
      <c r="AA16" s="719">
        <v>-13.05</v>
      </c>
      <c r="AB16" s="719">
        <v>-3.47</v>
      </c>
      <c r="AC16" s="719">
        <v>-16.670000000000002</v>
      </c>
      <c r="AD16" s="719">
        <v>-44.74</v>
      </c>
      <c r="AE16" s="719">
        <v>-3.61</v>
      </c>
      <c r="AF16" s="719">
        <v>-0.04</v>
      </c>
      <c r="AG16" s="719">
        <v>-6.93</v>
      </c>
      <c r="AH16" s="719">
        <v>-9.18</v>
      </c>
      <c r="AI16" s="719">
        <v>0</v>
      </c>
      <c r="AJ16" s="719">
        <v>-12.36</v>
      </c>
    </row>
    <row r="17" spans="1:37" s="297" customFormat="1" ht="12.2" customHeight="1">
      <c r="A17" s="580" t="s">
        <v>576</v>
      </c>
      <c r="B17" s="392">
        <v>-1.8</v>
      </c>
      <c r="C17" s="392">
        <v>0.01</v>
      </c>
      <c r="D17" s="392">
        <v>0</v>
      </c>
      <c r="E17" s="392">
        <v>-1.02</v>
      </c>
      <c r="F17" s="392">
        <v>-0.53</v>
      </c>
      <c r="G17" s="392">
        <v>-0.47</v>
      </c>
      <c r="H17" s="392">
        <v>-0.45</v>
      </c>
      <c r="I17" s="392">
        <v>-0.22</v>
      </c>
      <c r="J17" s="392">
        <v>-0.27</v>
      </c>
      <c r="K17" s="392">
        <v>0.37</v>
      </c>
      <c r="L17" s="392">
        <v>0</v>
      </c>
      <c r="M17" s="392">
        <v>0.55000000000000004</v>
      </c>
      <c r="N17" s="392">
        <v>0.13</v>
      </c>
      <c r="O17" s="392">
        <v>-1.62</v>
      </c>
      <c r="P17" s="392">
        <v>0</v>
      </c>
      <c r="Q17" s="392">
        <v>-0.52</v>
      </c>
      <c r="R17" s="392">
        <v>-0.59</v>
      </c>
      <c r="S17" s="580" t="s">
        <v>576</v>
      </c>
      <c r="T17" s="623">
        <v>-2.7</v>
      </c>
      <c r="U17" s="623">
        <v>0</v>
      </c>
      <c r="V17" s="623">
        <v>-2.4</v>
      </c>
      <c r="W17" s="623">
        <v>-3.25</v>
      </c>
      <c r="X17" s="623">
        <v>1.67</v>
      </c>
      <c r="Y17" s="623">
        <v>-0.89</v>
      </c>
      <c r="Z17" s="623">
        <v>0</v>
      </c>
      <c r="AA17" s="623">
        <v>-1.37</v>
      </c>
      <c r="AB17" s="623">
        <v>-0.8</v>
      </c>
      <c r="AC17" s="623">
        <v>-0.71</v>
      </c>
      <c r="AD17" s="623">
        <v>0</v>
      </c>
      <c r="AE17" s="623">
        <v>1.18</v>
      </c>
      <c r="AF17" s="623">
        <v>0</v>
      </c>
      <c r="AG17" s="623">
        <v>0.06</v>
      </c>
      <c r="AH17" s="623">
        <v>-2.48</v>
      </c>
      <c r="AI17" s="623">
        <v>0</v>
      </c>
      <c r="AJ17" s="623">
        <v>0.46</v>
      </c>
    </row>
    <row r="18" spans="1:37" s="297" customFormat="1" ht="12.2" customHeight="1">
      <c r="A18" s="577" t="s">
        <v>577</v>
      </c>
      <c r="B18" s="378">
        <v>-1.0900000000000001</v>
      </c>
      <c r="C18" s="378">
        <v>-0.46</v>
      </c>
      <c r="D18" s="378">
        <v>0</v>
      </c>
      <c r="E18" s="378">
        <v>-0.59</v>
      </c>
      <c r="F18" s="378">
        <v>0.41</v>
      </c>
      <c r="G18" s="378">
        <v>-0.38</v>
      </c>
      <c r="H18" s="378">
        <v>-0.4</v>
      </c>
      <c r="I18" s="378">
        <v>-7.0000000000000007E-2</v>
      </c>
      <c r="J18" s="378">
        <v>1.64</v>
      </c>
      <c r="K18" s="378">
        <v>1.17</v>
      </c>
      <c r="L18" s="378">
        <v>0</v>
      </c>
      <c r="M18" s="378">
        <v>-0.01</v>
      </c>
      <c r="N18" s="378">
        <v>-0.03</v>
      </c>
      <c r="O18" s="378">
        <v>1.58</v>
      </c>
      <c r="P18" s="378">
        <v>0</v>
      </c>
      <c r="Q18" s="378">
        <v>-0.08</v>
      </c>
      <c r="R18" s="378">
        <v>0.72</v>
      </c>
      <c r="S18" s="577" t="s">
        <v>577</v>
      </c>
      <c r="T18" s="624">
        <v>1.57</v>
      </c>
      <c r="U18" s="624">
        <v>0</v>
      </c>
      <c r="V18" s="624">
        <v>-1.97</v>
      </c>
      <c r="W18" s="624">
        <v>1.1299999999999999</v>
      </c>
      <c r="X18" s="624">
        <v>-1.44</v>
      </c>
      <c r="Y18" s="624">
        <v>-0.04</v>
      </c>
      <c r="Z18" s="624">
        <v>0</v>
      </c>
      <c r="AA18" s="624">
        <v>-1.47</v>
      </c>
      <c r="AB18" s="624">
        <v>0.79</v>
      </c>
      <c r="AC18" s="624">
        <v>-0.34</v>
      </c>
      <c r="AD18" s="624">
        <v>0</v>
      </c>
      <c r="AE18" s="624">
        <v>-0.75</v>
      </c>
      <c r="AF18" s="624">
        <v>-0.04</v>
      </c>
      <c r="AG18" s="624">
        <v>-0.34</v>
      </c>
      <c r="AH18" s="624">
        <v>1.64</v>
      </c>
      <c r="AI18" s="624">
        <v>0</v>
      </c>
      <c r="AJ18" s="624">
        <v>-1.01</v>
      </c>
    </row>
    <row r="19" spans="1:37" s="297" customFormat="1" ht="12.2" customHeight="1">
      <c r="A19" s="580" t="s">
        <v>571</v>
      </c>
      <c r="B19" s="392">
        <v>-1.63</v>
      </c>
      <c r="C19" s="392">
        <v>-0.35</v>
      </c>
      <c r="D19" s="392">
        <v>0</v>
      </c>
      <c r="E19" s="392">
        <v>-1.2</v>
      </c>
      <c r="F19" s="392">
        <v>-0.27</v>
      </c>
      <c r="G19" s="392">
        <v>-1.7</v>
      </c>
      <c r="H19" s="392">
        <v>-1.7</v>
      </c>
      <c r="I19" s="392">
        <v>0.01</v>
      </c>
      <c r="J19" s="392">
        <v>-1.35</v>
      </c>
      <c r="K19" s="392">
        <v>-0.02</v>
      </c>
      <c r="L19" s="392">
        <v>0</v>
      </c>
      <c r="M19" s="392">
        <v>-1.82</v>
      </c>
      <c r="N19" s="392">
        <v>-0.28000000000000003</v>
      </c>
      <c r="O19" s="392">
        <v>-0.74</v>
      </c>
      <c r="P19" s="392">
        <v>-12.05</v>
      </c>
      <c r="Q19" s="392">
        <v>-0.34</v>
      </c>
      <c r="R19" s="392">
        <v>-1.81</v>
      </c>
      <c r="S19" s="580" t="s">
        <v>571</v>
      </c>
      <c r="T19" s="623">
        <v>-1.17</v>
      </c>
      <c r="U19" s="623">
        <v>0</v>
      </c>
      <c r="V19" s="623">
        <v>-3.14</v>
      </c>
      <c r="W19" s="623">
        <v>-2.3199999999999998</v>
      </c>
      <c r="X19" s="623">
        <v>0.66</v>
      </c>
      <c r="Y19" s="623">
        <v>1.06</v>
      </c>
      <c r="Z19" s="623">
        <v>-0.01</v>
      </c>
      <c r="AA19" s="623">
        <v>-1.96</v>
      </c>
      <c r="AB19" s="623">
        <v>-1.1299999999999999</v>
      </c>
      <c r="AC19" s="623">
        <v>-2.11</v>
      </c>
      <c r="AD19" s="623">
        <v>-0.13</v>
      </c>
      <c r="AE19" s="623">
        <v>-1.93</v>
      </c>
      <c r="AF19" s="623">
        <v>0</v>
      </c>
      <c r="AG19" s="623">
        <v>-0.64</v>
      </c>
      <c r="AH19" s="623">
        <v>-4.6399999999999997</v>
      </c>
      <c r="AI19" s="623">
        <v>0</v>
      </c>
      <c r="AJ19" s="623">
        <v>-2.42</v>
      </c>
      <c r="AK19" s="1155"/>
    </row>
    <row r="20" spans="1:37" s="297" customFormat="1" ht="12.2" customHeight="1">
      <c r="A20" s="577" t="s">
        <v>578</v>
      </c>
      <c r="B20" s="378">
        <v>4.8</v>
      </c>
      <c r="C20" s="378">
        <v>-0.2</v>
      </c>
      <c r="D20" s="378">
        <v>0</v>
      </c>
      <c r="E20" s="378">
        <v>2.96</v>
      </c>
      <c r="F20" s="378">
        <v>1.48</v>
      </c>
      <c r="G20" s="378">
        <v>-0.33</v>
      </c>
      <c r="H20" s="378">
        <v>-0.28999999999999998</v>
      </c>
      <c r="I20" s="378">
        <v>0.09</v>
      </c>
      <c r="J20" s="378">
        <v>-0.85</v>
      </c>
      <c r="K20" s="378">
        <v>1.08</v>
      </c>
      <c r="L20" s="378">
        <v>0</v>
      </c>
      <c r="M20" s="378">
        <v>-1.8</v>
      </c>
      <c r="N20" s="378">
        <v>-0.02</v>
      </c>
      <c r="O20" s="378">
        <v>1.1299999999999999</v>
      </c>
      <c r="P20" s="378">
        <v>4.26</v>
      </c>
      <c r="Q20" s="378">
        <v>0.01</v>
      </c>
      <c r="R20" s="378">
        <v>4.2699999999999996</v>
      </c>
      <c r="S20" s="577" t="s">
        <v>578</v>
      </c>
      <c r="T20" s="624">
        <v>3.88</v>
      </c>
      <c r="U20" s="624">
        <v>0</v>
      </c>
      <c r="V20" s="624">
        <v>-0.48</v>
      </c>
      <c r="W20" s="624">
        <v>0.85</v>
      </c>
      <c r="X20" s="624">
        <v>0.28999999999999998</v>
      </c>
      <c r="Y20" s="624">
        <v>2.52</v>
      </c>
      <c r="Z20" s="624">
        <v>0</v>
      </c>
      <c r="AA20" s="624">
        <v>0.94</v>
      </c>
      <c r="AB20" s="624">
        <v>0.88</v>
      </c>
      <c r="AC20" s="624">
        <v>2.46</v>
      </c>
      <c r="AD20" s="624">
        <v>-0.62</v>
      </c>
      <c r="AE20" s="624">
        <v>2.09</v>
      </c>
      <c r="AF20" s="624">
        <v>0</v>
      </c>
      <c r="AG20" s="624">
        <v>0.13</v>
      </c>
      <c r="AH20" s="624">
        <v>1.85</v>
      </c>
      <c r="AI20" s="624">
        <v>0</v>
      </c>
      <c r="AJ20" s="624">
        <v>1.98</v>
      </c>
      <c r="AK20" s="1155"/>
    </row>
    <row r="21" spans="1:37" s="297" customFormat="1" ht="12.2" customHeight="1">
      <c r="A21" s="580" t="s">
        <v>579</v>
      </c>
      <c r="B21" s="392">
        <v>-5.04</v>
      </c>
      <c r="C21" s="392">
        <v>-0.15</v>
      </c>
      <c r="D21" s="392">
        <v>-0.01</v>
      </c>
      <c r="E21" s="392">
        <v>-2.76</v>
      </c>
      <c r="F21" s="392">
        <v>0.18</v>
      </c>
      <c r="G21" s="392">
        <v>-2.31</v>
      </c>
      <c r="H21" s="392">
        <v>-2.34</v>
      </c>
      <c r="I21" s="392">
        <v>-0.27</v>
      </c>
      <c r="J21" s="392">
        <v>-0.15</v>
      </c>
      <c r="K21" s="392">
        <v>-1.05</v>
      </c>
      <c r="L21" s="392">
        <v>0</v>
      </c>
      <c r="M21" s="392">
        <v>0.43</v>
      </c>
      <c r="N21" s="392">
        <v>-0.33</v>
      </c>
      <c r="O21" s="392">
        <v>-2.0099999999999998</v>
      </c>
      <c r="P21" s="392">
        <v>0.24</v>
      </c>
      <c r="Q21" s="392">
        <v>-1.46</v>
      </c>
      <c r="R21" s="392">
        <v>-4.76</v>
      </c>
      <c r="S21" s="580" t="s">
        <v>579</v>
      </c>
      <c r="T21" s="623">
        <v>-6.38</v>
      </c>
      <c r="U21" s="623">
        <v>0</v>
      </c>
      <c r="V21" s="623">
        <v>-2.72</v>
      </c>
      <c r="W21" s="623">
        <v>0.48</v>
      </c>
      <c r="X21" s="623">
        <v>-0.26</v>
      </c>
      <c r="Y21" s="623">
        <v>-4.67</v>
      </c>
      <c r="Z21" s="623">
        <v>-0.01</v>
      </c>
      <c r="AA21" s="623">
        <v>-1.1100000000000001</v>
      </c>
      <c r="AB21" s="623">
        <v>-1.46</v>
      </c>
      <c r="AC21" s="623">
        <v>-5.15</v>
      </c>
      <c r="AD21" s="623">
        <v>-0.86</v>
      </c>
      <c r="AE21" s="623">
        <v>-0.8</v>
      </c>
      <c r="AF21" s="623">
        <v>0.04</v>
      </c>
      <c r="AG21" s="623">
        <v>-1.23</v>
      </c>
      <c r="AH21" s="623">
        <v>-1.22</v>
      </c>
      <c r="AI21" s="623">
        <v>0</v>
      </c>
      <c r="AJ21" s="623">
        <v>-2.76</v>
      </c>
      <c r="AK21" s="1155"/>
    </row>
    <row r="22" spans="1:37" s="297" customFormat="1" ht="12.2" customHeight="1">
      <c r="A22" s="577" t="s">
        <v>572</v>
      </c>
      <c r="B22" s="378">
        <v>1.4839862903904799</v>
      </c>
      <c r="C22" s="378">
        <v>0</v>
      </c>
      <c r="D22" s="378">
        <v>0</v>
      </c>
      <c r="E22" s="378">
        <v>-0.38702111024237701</v>
      </c>
      <c r="F22" s="378">
        <v>0.188459967961805</v>
      </c>
      <c r="G22" s="378">
        <v>0.502842318110717</v>
      </c>
      <c r="H22" s="378">
        <v>0.509186166384062</v>
      </c>
      <c r="I22" s="378">
        <v>3.7194030999300999E-2</v>
      </c>
      <c r="J22" s="378">
        <v>0.64369049215502205</v>
      </c>
      <c r="K22" s="378">
        <v>0.34341381364544299</v>
      </c>
      <c r="L22" s="378">
        <v>0</v>
      </c>
      <c r="M22" s="378">
        <v>-1.2396155017180599</v>
      </c>
      <c r="N22" s="378">
        <v>3.3046926635822899E-2</v>
      </c>
      <c r="O22" s="378">
        <v>1.33077568636854</v>
      </c>
      <c r="P22" s="378">
        <v>0.71709786276715404</v>
      </c>
      <c r="Q22" s="378">
        <v>0.34411391991177098</v>
      </c>
      <c r="R22" s="378">
        <v>8.0587692859810101E-2</v>
      </c>
      <c r="S22" s="577" t="s">
        <v>572</v>
      </c>
      <c r="T22" s="624">
        <v>2.7347798849592801</v>
      </c>
      <c r="U22" s="624">
        <v>0</v>
      </c>
      <c r="V22" s="624">
        <v>-1.1619767604647899</v>
      </c>
      <c r="W22" s="624">
        <v>-1.46943573667712</v>
      </c>
      <c r="X22" s="624">
        <v>0.77039274924471302</v>
      </c>
      <c r="Y22" s="624">
        <v>0.70489434027627396</v>
      </c>
      <c r="Z22" s="624">
        <v>-7.05904290033431E-2</v>
      </c>
      <c r="AA22" s="624">
        <v>0.20288852519867001</v>
      </c>
      <c r="AB22" s="624">
        <v>1.2348874181979499</v>
      </c>
      <c r="AC22" s="624">
        <v>0.25293336285145002</v>
      </c>
      <c r="AD22" s="624">
        <v>-6.16142945163278E-2</v>
      </c>
      <c r="AE22" s="624">
        <v>0.92931722516809701</v>
      </c>
      <c r="AF22" s="624">
        <v>-3.98009950248756E-2</v>
      </c>
      <c r="AG22" s="624">
        <v>0.111966410076977</v>
      </c>
      <c r="AH22" s="624">
        <v>0.98861593768723799</v>
      </c>
      <c r="AI22" s="624">
        <v>1.3612665223724099E-3</v>
      </c>
      <c r="AJ22" s="624">
        <v>1.29929343376159</v>
      </c>
    </row>
    <row r="23" spans="1:37" s="297" customFormat="1" ht="12.2" customHeight="1">
      <c r="A23" s="580" t="s">
        <v>580</v>
      </c>
      <c r="B23" s="392">
        <v>-3.6142917665719199</v>
      </c>
      <c r="C23" s="392">
        <v>-0.232558139534884</v>
      </c>
      <c r="D23" s="392">
        <v>0</v>
      </c>
      <c r="E23" s="392">
        <v>0.207623300818741</v>
      </c>
      <c r="F23" s="392">
        <v>-0.11294826342045</v>
      </c>
      <c r="G23" s="392">
        <v>-1.85131097081489</v>
      </c>
      <c r="H23" s="392">
        <v>-1.8061675140773501</v>
      </c>
      <c r="I23" s="392">
        <v>6.0316339953158597E-2</v>
      </c>
      <c r="J23" s="392">
        <v>-0.634674860719316</v>
      </c>
      <c r="K23" s="392">
        <v>-0.90631293839850002</v>
      </c>
      <c r="L23" s="392">
        <v>0</v>
      </c>
      <c r="M23" s="392">
        <v>-0.26029239512385599</v>
      </c>
      <c r="N23" s="392">
        <v>-9.9042588312974605E-2</v>
      </c>
      <c r="O23" s="392">
        <v>-0.44163284793506802</v>
      </c>
      <c r="P23" s="392">
        <v>0</v>
      </c>
      <c r="Q23" s="392">
        <v>-0.63590799091008099</v>
      </c>
      <c r="R23" s="392">
        <v>-4.3115522578524796</v>
      </c>
      <c r="S23" s="580" t="s">
        <v>580</v>
      </c>
      <c r="T23" s="623">
        <v>-2.3241066263183701</v>
      </c>
      <c r="U23" s="623">
        <v>0</v>
      </c>
      <c r="V23" s="623">
        <v>1.03253182461103</v>
      </c>
      <c r="W23" s="623">
        <v>-0.27354435326299298</v>
      </c>
      <c r="X23" s="623">
        <v>-0.46473482777474001</v>
      </c>
      <c r="Y23" s="623">
        <v>-5.2553572848047203</v>
      </c>
      <c r="Z23" s="623">
        <v>5.7304299155094801E-2</v>
      </c>
      <c r="AA23" s="623">
        <v>-2.0893303322526702</v>
      </c>
      <c r="AB23" s="623">
        <v>-0.19188899959408101</v>
      </c>
      <c r="AC23" s="623">
        <v>-4.05131990504968</v>
      </c>
      <c r="AD23" s="623">
        <v>0.197555253735029</v>
      </c>
      <c r="AE23" s="623">
        <v>-1.7403448461083999</v>
      </c>
      <c r="AF23" s="623">
        <v>0</v>
      </c>
      <c r="AG23" s="623">
        <v>-0.62586926286509004</v>
      </c>
      <c r="AH23" s="623">
        <v>-0.194348931080879</v>
      </c>
      <c r="AI23" s="623">
        <v>0</v>
      </c>
      <c r="AJ23" s="623">
        <v>-0.61165386340133898</v>
      </c>
    </row>
    <row r="24" spans="1:37" s="297" customFormat="1" ht="12.2" customHeight="1">
      <c r="A24" s="577" t="s">
        <v>581</v>
      </c>
      <c r="B24" s="378">
        <v>3.5351308893387299</v>
      </c>
      <c r="C24" s="378">
        <v>0</v>
      </c>
      <c r="D24" s="378">
        <v>1.3262599469495999E-2</v>
      </c>
      <c r="E24" s="378">
        <v>0.44068463505803701</v>
      </c>
      <c r="F24" s="378">
        <v>0.82882540887665701</v>
      </c>
      <c r="G24" s="378">
        <v>1.13459921683872</v>
      </c>
      <c r="H24" s="378">
        <v>1.1126066212873</v>
      </c>
      <c r="I24" s="378">
        <v>-0.20491147184068101</v>
      </c>
      <c r="J24" s="378">
        <v>-3.8228438228438202E-2</v>
      </c>
      <c r="K24" s="378">
        <v>0.22273265121458899</v>
      </c>
      <c r="L24" s="378">
        <v>0</v>
      </c>
      <c r="M24" s="378">
        <v>-0.27687648712956903</v>
      </c>
      <c r="N24" s="378">
        <v>-9.8944591029023699E-2</v>
      </c>
      <c r="O24" s="378">
        <v>-0.32123735871505099</v>
      </c>
      <c r="P24" s="378">
        <v>-8.4357337682422692E-3</v>
      </c>
      <c r="Q24" s="378">
        <v>0.25167585839601703</v>
      </c>
      <c r="R24" s="378">
        <v>3.0599760847273498</v>
      </c>
      <c r="S24" s="577" t="s">
        <v>581</v>
      </c>
      <c r="T24" s="624">
        <v>1.7224598809442999</v>
      </c>
      <c r="U24" s="624">
        <v>0</v>
      </c>
      <c r="V24" s="624">
        <v>-0.36640360766629099</v>
      </c>
      <c r="W24" s="624">
        <v>-0.46674445740956799</v>
      </c>
      <c r="X24" s="624">
        <v>-0.13650013650013701</v>
      </c>
      <c r="Y24" s="624">
        <v>-25.908749798140001</v>
      </c>
      <c r="Z24" s="624">
        <v>5.33091665111816E-3</v>
      </c>
      <c r="AA24" s="624">
        <v>0.351448689734631</v>
      </c>
      <c r="AB24" s="624">
        <v>9.6036641672515105E-2</v>
      </c>
      <c r="AC24" s="624">
        <v>-1.7109720388126499</v>
      </c>
      <c r="AD24" s="624">
        <v>0.235148514851485</v>
      </c>
      <c r="AE24" s="624">
        <v>0.616116305463979</v>
      </c>
      <c r="AF24" s="624">
        <v>0</v>
      </c>
      <c r="AG24" s="624">
        <v>0.25097601784718299</v>
      </c>
      <c r="AH24" s="624">
        <v>2.0753853197008998</v>
      </c>
      <c r="AI24" s="624">
        <v>1.36128505309012E-3</v>
      </c>
      <c r="AJ24" s="624">
        <v>1.11884637553921E-2</v>
      </c>
    </row>
    <row r="25" spans="1:37" s="297" customFormat="1" ht="12.2" customHeight="1">
      <c r="A25" s="580" t="s">
        <v>573</v>
      </c>
      <c r="B25" s="392">
        <v>3.82</v>
      </c>
      <c r="C25" s="392">
        <v>-0.23</v>
      </c>
      <c r="D25" s="392">
        <v>0</v>
      </c>
      <c r="E25" s="392">
        <v>1.8</v>
      </c>
      <c r="F25" s="392">
        <v>-0.41</v>
      </c>
      <c r="G25" s="392">
        <v>-0.96</v>
      </c>
      <c r="H25" s="392">
        <v>-0.99</v>
      </c>
      <c r="I25" s="392">
        <v>-0.24</v>
      </c>
      <c r="J25" s="392">
        <v>-0.99</v>
      </c>
      <c r="K25" s="392">
        <v>7.0000000000000007E-2</v>
      </c>
      <c r="L25" s="392">
        <v>0</v>
      </c>
      <c r="M25" s="392">
        <v>-5.12</v>
      </c>
      <c r="N25" s="392">
        <v>-0.25</v>
      </c>
      <c r="O25" s="392">
        <v>-0.05</v>
      </c>
      <c r="P25" s="392">
        <v>0</v>
      </c>
      <c r="Q25" s="392">
        <v>-1.1599999999999999</v>
      </c>
      <c r="R25" s="392">
        <v>3.59</v>
      </c>
      <c r="S25" s="580" t="s">
        <v>573</v>
      </c>
      <c r="T25" s="623">
        <v>3.17</v>
      </c>
      <c r="U25" s="623">
        <v>0</v>
      </c>
      <c r="V25" s="623">
        <v>-2.9</v>
      </c>
      <c r="W25" s="623">
        <v>-1</v>
      </c>
      <c r="X25" s="623">
        <v>0</v>
      </c>
      <c r="Y25" s="623">
        <v>26.07</v>
      </c>
      <c r="Z25" s="623">
        <v>0.01</v>
      </c>
      <c r="AA25" s="623">
        <v>-0.33</v>
      </c>
      <c r="AB25" s="623">
        <v>0.09</v>
      </c>
      <c r="AC25" s="623">
        <v>3.45</v>
      </c>
      <c r="AD25" s="623">
        <v>-30.94</v>
      </c>
      <c r="AE25" s="623">
        <v>0.2</v>
      </c>
      <c r="AF25" s="623">
        <v>0</v>
      </c>
      <c r="AG25" s="623">
        <v>-0.79</v>
      </c>
      <c r="AH25" s="623">
        <v>-1.81</v>
      </c>
      <c r="AI25" s="623">
        <v>0</v>
      </c>
      <c r="AJ25" s="623">
        <v>-2.0499999999999998</v>
      </c>
    </row>
    <row r="26" spans="1:37" s="297" customFormat="1" ht="12.2" customHeight="1">
      <c r="A26" s="577" t="s">
        <v>582</v>
      </c>
      <c r="B26" s="378">
        <v>-5.0998670299130202</v>
      </c>
      <c r="C26" s="378">
        <v>-0.289184499710816</v>
      </c>
      <c r="D26" s="378">
        <v>-1.3260840737302699E-2</v>
      </c>
      <c r="E26" s="378">
        <v>-2.6288076758063901</v>
      </c>
      <c r="F26" s="378">
        <v>-3.2699457548607298</v>
      </c>
      <c r="G26" s="378">
        <v>-5.4366177200822898</v>
      </c>
      <c r="H26" s="378">
        <v>-5.3862702968042999</v>
      </c>
      <c r="I26" s="378">
        <v>-0.244696646254038</v>
      </c>
      <c r="J26" s="378">
        <v>-1.05634032557988</v>
      </c>
      <c r="K26" s="378">
        <v>-0.79461046812921099</v>
      </c>
      <c r="L26" s="378">
        <v>0</v>
      </c>
      <c r="M26" s="378">
        <v>-5.1543582356834197</v>
      </c>
      <c r="N26" s="378">
        <v>-0.76722167809337205</v>
      </c>
      <c r="O26" s="378">
        <v>-3.58862646182068</v>
      </c>
      <c r="P26" s="378">
        <v>-3.9616527140156599</v>
      </c>
      <c r="Q26" s="378">
        <v>-1.7924203442315201</v>
      </c>
      <c r="R26" s="378">
        <v>-6.1841600962760399</v>
      </c>
      <c r="S26" s="577" t="s">
        <v>582</v>
      </c>
      <c r="T26" s="624">
        <v>-8.1851315859998905</v>
      </c>
      <c r="U26" s="624">
        <v>0</v>
      </c>
      <c r="V26" s="624">
        <v>-1.3232514177693799</v>
      </c>
      <c r="W26" s="624">
        <v>-0.34535686876438998</v>
      </c>
      <c r="X26" s="624">
        <v>0.19420662490768301</v>
      </c>
      <c r="Y26" s="624">
        <v>12.8378378378378</v>
      </c>
      <c r="Z26" s="624">
        <v>1.4663538445131701E-2</v>
      </c>
      <c r="AA26" s="624">
        <v>-4.7497452402217499</v>
      </c>
      <c r="AB26" s="624">
        <v>-2.0956241630171202</v>
      </c>
      <c r="AC26" s="624">
        <v>-6.1982717575192696</v>
      </c>
      <c r="AD26" s="624">
        <v>-17.604473302440901</v>
      </c>
      <c r="AE26" s="624">
        <v>-4.7260344649675003</v>
      </c>
      <c r="AF26" s="624">
        <v>0</v>
      </c>
      <c r="AG26" s="624">
        <v>-3.00550114048034</v>
      </c>
      <c r="AH26" s="624">
        <v>-3.1209174045579902</v>
      </c>
      <c r="AI26" s="624">
        <v>0</v>
      </c>
      <c r="AJ26" s="624">
        <v>-4.4355618122513496</v>
      </c>
    </row>
    <row r="27" spans="1:37" s="297" customFormat="1" ht="12.2" customHeight="1">
      <c r="A27" s="580" t="s">
        <v>583</v>
      </c>
      <c r="B27" s="392">
        <v>0.99620578082451605</v>
      </c>
      <c r="C27" s="392">
        <v>-2.8651685393258401</v>
      </c>
      <c r="D27" s="392">
        <v>1.3262599469495999E-2</v>
      </c>
      <c r="E27" s="392">
        <v>1.29587926198096</v>
      </c>
      <c r="F27" s="392">
        <v>-1.46981548485895</v>
      </c>
      <c r="G27" s="392">
        <v>2.11961403610443</v>
      </c>
      <c r="H27" s="392">
        <v>2.1028702829521899</v>
      </c>
      <c r="I27" s="392">
        <v>-2.80302982041498E-2</v>
      </c>
      <c r="J27" s="392">
        <v>-1.1878221155148001</v>
      </c>
      <c r="K27" s="392">
        <v>-0.85631101215961603</v>
      </c>
      <c r="L27" s="392">
        <v>0</v>
      </c>
      <c r="M27" s="392">
        <v>0.68200525222435604</v>
      </c>
      <c r="N27" s="392">
        <v>8.1685999019768002E-2</v>
      </c>
      <c r="O27" s="392">
        <v>-0.33139069820591899</v>
      </c>
      <c r="P27" s="392">
        <v>0</v>
      </c>
      <c r="Q27" s="392">
        <v>-0.30292885175824003</v>
      </c>
      <c r="R27" s="392">
        <v>0.152765075856234</v>
      </c>
      <c r="S27" s="580" t="s">
        <v>583</v>
      </c>
      <c r="T27" s="623">
        <v>-0.88084663280702102</v>
      </c>
      <c r="U27" s="623">
        <v>0</v>
      </c>
      <c r="V27" s="623">
        <v>-6.8427672955974801</v>
      </c>
      <c r="W27" s="623">
        <v>-0.58178350023843595</v>
      </c>
      <c r="X27" s="623">
        <v>0.14106690406080899</v>
      </c>
      <c r="Y27" s="623">
        <v>20.081135902636898</v>
      </c>
      <c r="Z27" s="623">
        <v>-2.66602682022981E-3</v>
      </c>
      <c r="AA27" s="623">
        <v>2.7224411437809399</v>
      </c>
      <c r="AB27" s="623">
        <v>1.05336308108701</v>
      </c>
      <c r="AC27" s="623">
        <v>0.92476625242182398</v>
      </c>
      <c r="AD27" s="623">
        <v>-1.3902777777777799</v>
      </c>
      <c r="AE27" s="623">
        <v>1.21148825065274</v>
      </c>
      <c r="AF27" s="623">
        <v>3.9816842524387802E-2</v>
      </c>
      <c r="AG27" s="623">
        <v>0.59387231745174796</v>
      </c>
      <c r="AH27" s="623">
        <v>0.76056750036565701</v>
      </c>
      <c r="AI27" s="623">
        <v>0</v>
      </c>
      <c r="AJ27" s="623">
        <v>0.81274904509949197</v>
      </c>
    </row>
    <row r="28" spans="1:37" s="297" customFormat="1" ht="12.2" customHeight="1">
      <c r="A28" s="577" t="s">
        <v>574</v>
      </c>
      <c r="B28" s="378">
        <v>-4.3901030007351398</v>
      </c>
      <c r="C28" s="378">
        <v>-4.7619047619047601</v>
      </c>
      <c r="D28" s="378">
        <v>0</v>
      </c>
      <c r="E28" s="378">
        <v>-1.8420848522454001</v>
      </c>
      <c r="F28" s="378">
        <v>-0.75543105760348095</v>
      </c>
      <c r="G28" s="378">
        <v>-3.1365339545588502</v>
      </c>
      <c r="H28" s="378">
        <v>-3.13572709573763</v>
      </c>
      <c r="I28" s="378">
        <v>2.4851211337250101E-2</v>
      </c>
      <c r="J28" s="378">
        <v>-1.7623662043194599</v>
      </c>
      <c r="K28" s="378">
        <v>-1.9150008399126499</v>
      </c>
      <c r="L28" s="378">
        <v>0</v>
      </c>
      <c r="M28" s="378">
        <v>-6.6107837036494699</v>
      </c>
      <c r="N28" s="378">
        <v>-0.24445893089960899</v>
      </c>
      <c r="O28" s="378">
        <v>-0.69223785746708999</v>
      </c>
      <c r="P28" s="378">
        <v>0</v>
      </c>
      <c r="Q28" s="378">
        <v>-0.956121514843424</v>
      </c>
      <c r="R28" s="378">
        <v>-5.1632010613652</v>
      </c>
      <c r="S28" s="577" t="s">
        <v>574</v>
      </c>
      <c r="T28" s="624">
        <v>-5.09209537783559</v>
      </c>
      <c r="U28" s="624">
        <v>0</v>
      </c>
      <c r="V28" s="624">
        <v>-2.6927784577723402</v>
      </c>
      <c r="W28" s="624">
        <v>-4.4733965014577297</v>
      </c>
      <c r="X28" s="624">
        <v>-0.33442533442533401</v>
      </c>
      <c r="Y28" s="624">
        <v>16.658778987221901</v>
      </c>
      <c r="Z28" s="624">
        <v>-3.1982090029583403E-2</v>
      </c>
      <c r="AA28" s="624">
        <v>-4.77794027093596</v>
      </c>
      <c r="AB28" s="624">
        <v>-1.9156950672645701</v>
      </c>
      <c r="AC28" s="624">
        <v>-4.4115419384788304</v>
      </c>
      <c r="AD28" s="624">
        <v>-0.277008310249307</v>
      </c>
      <c r="AE28" s="624">
        <v>0.235540434441246</v>
      </c>
      <c r="AF28" s="624">
        <v>-3.98009950248756E-2</v>
      </c>
      <c r="AG28" s="624">
        <v>-1.6199707874120299</v>
      </c>
      <c r="AH28" s="624">
        <v>-3.1449213769655802</v>
      </c>
      <c r="AI28" s="624">
        <v>-1.3612479921592099E-3</v>
      </c>
      <c r="AJ28" s="624">
        <v>-4.1495417863259396</v>
      </c>
    </row>
    <row r="29" spans="1:37" s="297" customFormat="1" ht="12.2" customHeight="1">
      <c r="A29" s="640" t="s">
        <v>2299</v>
      </c>
      <c r="B29" s="568">
        <v>-2.9642547042443099</v>
      </c>
      <c r="C29" s="568">
        <v>-11.839622641509401</v>
      </c>
      <c r="D29" s="568">
        <v>0</v>
      </c>
      <c r="E29" s="568">
        <v>-2.20351196571472</v>
      </c>
      <c r="F29" s="568">
        <v>-6.8585544576440496</v>
      </c>
      <c r="G29" s="568">
        <v>4.24700822190362</v>
      </c>
      <c r="H29" s="568">
        <v>4.3099323085997803</v>
      </c>
      <c r="I29" s="568">
        <v>0.213922183411133</v>
      </c>
      <c r="J29" s="568">
        <v>-3.70799536500579</v>
      </c>
      <c r="K29" s="568">
        <v>-0.96489768757278305</v>
      </c>
      <c r="L29" s="568">
        <v>-5.9520266650794603E-3</v>
      </c>
      <c r="M29" s="568">
        <v>-4.94102091234907</v>
      </c>
      <c r="N29" s="568">
        <v>-0.21141649048625799</v>
      </c>
      <c r="O29" s="568">
        <v>-5.94513822179528</v>
      </c>
      <c r="P29" s="568">
        <v>-11.8333333333333</v>
      </c>
      <c r="Q29" s="568">
        <v>-0.21704301206533499</v>
      </c>
      <c r="R29" s="568">
        <v>-1.2143242707333299</v>
      </c>
      <c r="S29" s="640" t="s">
        <v>2299</v>
      </c>
      <c r="T29" s="1048">
        <v>-8.3931491283984094</v>
      </c>
      <c r="U29" s="1048">
        <v>0</v>
      </c>
      <c r="V29" s="1048">
        <v>-28.801742919390001</v>
      </c>
      <c r="W29" s="1048">
        <v>-1.5605381165919301</v>
      </c>
      <c r="X29" s="1048">
        <v>4.8280709885081201</v>
      </c>
      <c r="Y29" s="1048">
        <v>-36.85</v>
      </c>
      <c r="Z29" s="1048">
        <v>0.03</v>
      </c>
      <c r="AA29" s="1048">
        <v>-0.26</v>
      </c>
      <c r="AB29" s="1048">
        <v>3.09</v>
      </c>
      <c r="AC29" s="1048">
        <v>-4.43</v>
      </c>
      <c r="AD29" s="1048">
        <v>17.59</v>
      </c>
      <c r="AE29" s="1048">
        <v>6.44</v>
      </c>
      <c r="AF29" s="1048">
        <v>0</v>
      </c>
      <c r="AG29" s="1048">
        <v>0.45</v>
      </c>
      <c r="AH29" s="1048">
        <v>0.23</v>
      </c>
      <c r="AI29" s="1048">
        <v>0.01</v>
      </c>
      <c r="AJ29" s="1048">
        <v>4.83</v>
      </c>
    </row>
    <row r="30" spans="1:37" s="297" customFormat="1" ht="12.2" customHeight="1">
      <c r="A30" s="577" t="s">
        <v>576</v>
      </c>
      <c r="B30" s="378">
        <v>1.5111886713022999</v>
      </c>
      <c r="C30" s="378">
        <v>-1.31995776135164</v>
      </c>
      <c r="D30" s="378">
        <v>0</v>
      </c>
      <c r="E30" s="378">
        <v>0.77380021885258699</v>
      </c>
      <c r="F30" s="378">
        <v>-0.47896555303468402</v>
      </c>
      <c r="G30" s="378">
        <v>-2.1114377558589998</v>
      </c>
      <c r="H30" s="378">
        <v>-2.1166556497785698</v>
      </c>
      <c r="I30" s="378">
        <v>-4.1401537589411397E-2</v>
      </c>
      <c r="J30" s="378">
        <v>-0.51165076684603805</v>
      </c>
      <c r="K30" s="378">
        <v>0.33709758975223297</v>
      </c>
      <c r="L30" s="378">
        <v>0</v>
      </c>
      <c r="M30" s="378">
        <v>2.5449495139071399</v>
      </c>
      <c r="N30" s="378">
        <v>-6.5146579804560303E-2</v>
      </c>
      <c r="O30" s="378">
        <v>-0.99988765307268801</v>
      </c>
      <c r="P30" s="378">
        <v>0</v>
      </c>
      <c r="Q30" s="378">
        <v>-0.95046039622991596</v>
      </c>
      <c r="R30" s="378">
        <v>1.1740900220258601</v>
      </c>
      <c r="S30" s="577" t="s">
        <v>576</v>
      </c>
      <c r="T30" s="624">
        <v>2.4723315869423699</v>
      </c>
      <c r="U30" s="624">
        <v>0.13003901170351101</v>
      </c>
      <c r="V30" s="624">
        <v>-14.9277354325461</v>
      </c>
      <c r="W30" s="624">
        <v>-0.86705202312138696</v>
      </c>
      <c r="X30" s="624">
        <v>-0.49305244285074001</v>
      </c>
      <c r="Y30" s="624">
        <v>-15.140562248996</v>
      </c>
      <c r="Z30" s="624">
        <v>-0.103833865814696</v>
      </c>
      <c r="AA30" s="624">
        <v>-0.31343873366147801</v>
      </c>
      <c r="AB30" s="624">
        <v>0.94882845036758001</v>
      </c>
      <c r="AC30" s="624">
        <v>0.77063226314752797</v>
      </c>
      <c r="AD30" s="624">
        <v>0.55710306406685195</v>
      </c>
      <c r="AE30" s="624">
        <v>0.38356452290878501</v>
      </c>
      <c r="AF30" s="624">
        <v>3.9816842524387802E-2</v>
      </c>
      <c r="AG30" s="624">
        <v>-0.31767041694242198</v>
      </c>
      <c r="AH30" s="624">
        <v>-2.7685950413223099</v>
      </c>
      <c r="AI30" s="624">
        <v>0</v>
      </c>
      <c r="AJ30" s="624">
        <v>0.33396673559184697</v>
      </c>
    </row>
    <row r="31" spans="1:37" s="297" customFormat="1" ht="12.2" customHeight="1">
      <c r="A31" s="580" t="s">
        <v>577</v>
      </c>
      <c r="B31" s="392">
        <v>-1.9181220375755299</v>
      </c>
      <c r="C31" s="392">
        <v>-0.31578947368421101</v>
      </c>
      <c r="D31" s="392">
        <v>0</v>
      </c>
      <c r="E31" s="392">
        <v>-2.2948566191912598</v>
      </c>
      <c r="F31" s="392">
        <v>-2.13188982091545</v>
      </c>
      <c r="G31" s="392">
        <v>-1.9906425662257199</v>
      </c>
      <c r="H31" s="392">
        <v>-2.0156557332721499</v>
      </c>
      <c r="I31" s="392">
        <v>1.65633580297249E-2</v>
      </c>
      <c r="J31" s="392">
        <v>-0.41602610359865699</v>
      </c>
      <c r="K31" s="392">
        <v>-0.17162471395880999</v>
      </c>
      <c r="L31" s="392">
        <v>0</v>
      </c>
      <c r="M31" s="392">
        <v>-4.0309798270893404</v>
      </c>
      <c r="N31" s="392">
        <v>-0.340853757506898</v>
      </c>
      <c r="O31" s="392">
        <v>-0.55859680482627605</v>
      </c>
      <c r="P31" s="392">
        <v>-11.8333333333333</v>
      </c>
      <c r="Q31" s="392">
        <v>-1.63942781141648</v>
      </c>
      <c r="R31" s="392">
        <v>-2.5673584704170498</v>
      </c>
      <c r="S31" s="580" t="s">
        <v>577</v>
      </c>
      <c r="T31" s="623">
        <v>-1.37987261146497</v>
      </c>
      <c r="U31" s="623">
        <v>-0.12987012987013</v>
      </c>
      <c r="V31" s="623">
        <v>9.0574608221666999</v>
      </c>
      <c r="W31" s="623">
        <v>-1.41572433443148</v>
      </c>
      <c r="X31" s="623">
        <v>0.208248264597795</v>
      </c>
      <c r="Y31" s="623">
        <v>3.75</v>
      </c>
      <c r="Z31" s="623">
        <v>-1.3310262212165601E-2</v>
      </c>
      <c r="AA31" s="623">
        <v>-2.9969111681738698</v>
      </c>
      <c r="AB31" s="623">
        <v>-1.24105865522175</v>
      </c>
      <c r="AC31" s="623">
        <v>-4.8342049522952601</v>
      </c>
      <c r="AD31" s="623">
        <v>-1.37091678342812</v>
      </c>
      <c r="AE31" s="623">
        <v>-2.30982445334155</v>
      </c>
      <c r="AF31" s="623">
        <v>-3.98009950248756E-2</v>
      </c>
      <c r="AG31" s="623">
        <v>-1.4608060519107899</v>
      </c>
      <c r="AH31" s="623">
        <v>-0.58879912364781595</v>
      </c>
      <c r="AI31" s="623">
        <v>0</v>
      </c>
      <c r="AJ31" s="623">
        <v>-4.2038209052602502</v>
      </c>
    </row>
    <row r="32" spans="1:37" s="297" customFormat="1" ht="12.2" customHeight="1">
      <c r="A32" s="577" t="s">
        <v>571</v>
      </c>
      <c r="B32" s="378">
        <v>-4.80151801471649</v>
      </c>
      <c r="C32" s="378">
        <v>-1.0416666666666701</v>
      </c>
      <c r="D32" s="378">
        <v>0</v>
      </c>
      <c r="E32" s="378">
        <v>-3.76644374219152</v>
      </c>
      <c r="F32" s="378">
        <v>-3.0885207167168298</v>
      </c>
      <c r="G32" s="378">
        <v>-2.7655953393991002</v>
      </c>
      <c r="H32" s="378">
        <v>-2.7811048809768502</v>
      </c>
      <c r="I32" s="378">
        <v>-5.7331413792664097E-3</v>
      </c>
      <c r="J32" s="378">
        <v>-2.1472166619592001</v>
      </c>
      <c r="K32" s="378">
        <v>-2.4969649243692</v>
      </c>
      <c r="L32" s="378">
        <v>0</v>
      </c>
      <c r="M32" s="378">
        <v>-3.7214303055526701</v>
      </c>
      <c r="N32" s="378">
        <v>-0.77307134804316302</v>
      </c>
      <c r="O32" s="378">
        <v>-3.6698235040895399</v>
      </c>
      <c r="P32" s="378">
        <v>0</v>
      </c>
      <c r="Q32" s="378">
        <v>-2.3043391668594002</v>
      </c>
      <c r="R32" s="378">
        <v>-6.5100356980263898</v>
      </c>
      <c r="S32" s="577" t="s">
        <v>571</v>
      </c>
      <c r="T32" s="624">
        <v>-7.9951618347522801</v>
      </c>
      <c r="U32" s="624">
        <v>0</v>
      </c>
      <c r="V32" s="624">
        <v>-5.0873032981246</v>
      </c>
      <c r="W32" s="624">
        <v>-4.7170611690845803</v>
      </c>
      <c r="X32" s="624">
        <v>0.28938818968576802</v>
      </c>
      <c r="Y32" s="624">
        <v>3.6269430051813498</v>
      </c>
      <c r="Z32" s="624">
        <v>-0.26549847338377802</v>
      </c>
      <c r="AA32" s="624">
        <v>-6.33365867261573</v>
      </c>
      <c r="AB32" s="624">
        <v>-2.54783730089575</v>
      </c>
      <c r="AC32" s="624">
        <v>-5.2457706140935096</v>
      </c>
      <c r="AD32" s="624">
        <v>1.37385283288454E-2</v>
      </c>
      <c r="AE32" s="624">
        <v>-0.225340571545631</v>
      </c>
      <c r="AF32" s="624">
        <v>0</v>
      </c>
      <c r="AG32" s="624">
        <v>-2.1816789997448298</v>
      </c>
      <c r="AH32" s="624">
        <v>-4.17268075055767</v>
      </c>
      <c r="AI32" s="624">
        <v>0</v>
      </c>
      <c r="AJ32" s="624">
        <v>-6.5717251814927602</v>
      </c>
    </row>
    <row r="33" spans="1:36" s="297" customFormat="1" ht="12.2" customHeight="1">
      <c r="A33" s="580" t="s">
        <v>578</v>
      </c>
      <c r="B33" s="392">
        <v>-1.7016710909491</v>
      </c>
      <c r="C33" s="392">
        <v>-1.0309278350515501</v>
      </c>
      <c r="D33" s="392">
        <v>-1.3260840737302699E-2</v>
      </c>
      <c r="E33" s="392">
        <v>3.6759300102926003E-2</v>
      </c>
      <c r="F33" s="392">
        <v>-0.92799019061420096</v>
      </c>
      <c r="G33" s="392">
        <v>2.27074937407115</v>
      </c>
      <c r="H33" s="392">
        <v>2.3573502660999601</v>
      </c>
      <c r="I33" s="392">
        <v>-1.91101060610886E-3</v>
      </c>
      <c r="J33" s="392">
        <v>-1.0180081075989</v>
      </c>
      <c r="K33" s="392">
        <v>-2.2515154430866899</v>
      </c>
      <c r="L33" s="392">
        <v>0</v>
      </c>
      <c r="M33" s="392">
        <v>-2.2378191435255799</v>
      </c>
      <c r="N33" s="392">
        <v>0.27454780361757097</v>
      </c>
      <c r="O33" s="392">
        <v>-1.71875826326088</v>
      </c>
      <c r="P33" s="392">
        <v>0</v>
      </c>
      <c r="Q33" s="392">
        <v>1.06140708264821</v>
      </c>
      <c r="R33" s="392">
        <v>1.4834209521739301</v>
      </c>
      <c r="S33" s="580" t="s">
        <v>578</v>
      </c>
      <c r="T33" s="623">
        <v>3.1979641402266199</v>
      </c>
      <c r="U33" s="623">
        <v>-1.29853265809635E-2</v>
      </c>
      <c r="V33" s="623">
        <v>4.77696216826652</v>
      </c>
      <c r="W33" s="623">
        <v>1.55953816991211</v>
      </c>
      <c r="X33" s="623">
        <v>-0.34823298963462701</v>
      </c>
      <c r="Y33" s="623">
        <v>-5.8919138561560302</v>
      </c>
      <c r="Z33" s="623">
        <v>0.21018464321822</v>
      </c>
      <c r="AA33" s="623">
        <v>1.0233331220463799</v>
      </c>
      <c r="AB33" s="623">
        <v>1.67983839529362</v>
      </c>
      <c r="AC33" s="623">
        <v>2.8276343845454899</v>
      </c>
      <c r="AD33" s="623">
        <v>-0.83378746594005404</v>
      </c>
      <c r="AE33" s="623">
        <v>-2.0074274816822202</v>
      </c>
      <c r="AF33" s="623">
        <v>0</v>
      </c>
      <c r="AG33" s="623">
        <v>0.74550128534704396</v>
      </c>
      <c r="AH33" s="623">
        <v>0.36876070064533101</v>
      </c>
      <c r="AI33" s="623">
        <v>0</v>
      </c>
      <c r="AJ33" s="623">
        <v>6.6391149375758802</v>
      </c>
    </row>
    <row r="34" spans="1:36" s="297" customFormat="1" ht="12.2" customHeight="1">
      <c r="A34" s="577" t="s">
        <v>579</v>
      </c>
      <c r="B34" s="378">
        <v>4.3044224046245798</v>
      </c>
      <c r="C34" s="378">
        <v>-1.0204081632653099</v>
      </c>
      <c r="D34" s="378">
        <v>0</v>
      </c>
      <c r="E34" s="378">
        <v>0.16200294550809999</v>
      </c>
      <c r="F34" s="378">
        <v>-1.39335924981538E-3</v>
      </c>
      <c r="G34" s="378">
        <v>3.7332814822016398</v>
      </c>
      <c r="H34" s="378">
        <v>3.6527850357070002</v>
      </c>
      <c r="I34" s="378">
        <v>0.496770352540507</v>
      </c>
      <c r="J34" s="378">
        <v>0.78712665082204203</v>
      </c>
      <c r="K34" s="378">
        <v>-0.94986975030179799</v>
      </c>
      <c r="L34" s="378">
        <v>0</v>
      </c>
      <c r="M34" s="378">
        <v>6.3155618038282704</v>
      </c>
      <c r="N34" s="378">
        <v>0.61748456288592801</v>
      </c>
      <c r="O34" s="378">
        <v>5.6250698246006001</v>
      </c>
      <c r="P34" s="378">
        <v>0</v>
      </c>
      <c r="Q34" s="378">
        <v>2.4661471305623399</v>
      </c>
      <c r="R34" s="378">
        <v>6.6208097722762798</v>
      </c>
      <c r="S34" s="577" t="s">
        <v>579</v>
      </c>
      <c r="T34" s="624">
        <v>3.2845128697138199</v>
      </c>
      <c r="U34" s="624">
        <v>1.2987012987013E-2</v>
      </c>
      <c r="V34" s="624">
        <v>-1.44685587089594</v>
      </c>
      <c r="W34" s="624">
        <v>2.5808732543751098</v>
      </c>
      <c r="X34" s="624">
        <v>0.34671034671034701</v>
      </c>
      <c r="Y34" s="624">
        <v>1.0013953870146901</v>
      </c>
      <c r="Z34" s="624">
        <v>9.3128450741701597E-3</v>
      </c>
      <c r="AA34" s="624">
        <v>7.7307698144129704</v>
      </c>
      <c r="AB34" s="624">
        <v>2.6782140387904398</v>
      </c>
      <c r="AC34" s="624">
        <v>3.7523212187819799</v>
      </c>
      <c r="AD34" s="624">
        <v>0.96286107290233802</v>
      </c>
      <c r="AE34" s="624">
        <v>4.4449103679631001</v>
      </c>
      <c r="AF34" s="624">
        <v>3.9816842524387802E-2</v>
      </c>
      <c r="AG34" s="624">
        <v>2.2473386778814599</v>
      </c>
      <c r="AH34" s="624">
        <v>7.5495750708215299</v>
      </c>
      <c r="AI34" s="624">
        <v>0</v>
      </c>
      <c r="AJ34" s="624">
        <v>2.9449794474201698</v>
      </c>
    </row>
    <row r="35" spans="1:36" s="297" customFormat="1" ht="12.2" customHeight="1">
      <c r="A35" s="580" t="s">
        <v>572</v>
      </c>
      <c r="B35" s="392">
        <v>1.36065279171078</v>
      </c>
      <c r="C35" s="392">
        <v>-1.0101010101010099</v>
      </c>
      <c r="D35" s="392">
        <v>0</v>
      </c>
      <c r="E35" s="392">
        <v>0.23619722468261001</v>
      </c>
      <c r="F35" s="392">
        <v>2.9167562916756302</v>
      </c>
      <c r="G35" s="392">
        <v>2.7528827491722798</v>
      </c>
      <c r="H35" s="392">
        <v>3.21909552015256</v>
      </c>
      <c r="I35" s="392">
        <v>0.197561272859058</v>
      </c>
      <c r="J35" s="392">
        <v>-1.4023940956913501</v>
      </c>
      <c r="K35" s="392">
        <v>-6.35324015247776E-3</v>
      </c>
      <c r="L35" s="392">
        <v>-5.9520266650794603E-3</v>
      </c>
      <c r="M35" s="392">
        <v>4.2777130398827197</v>
      </c>
      <c r="N35" s="392">
        <v>0.44067243349110502</v>
      </c>
      <c r="O35" s="392">
        <v>1.24420314444067</v>
      </c>
      <c r="P35" s="392">
        <v>0</v>
      </c>
      <c r="Q35" s="392">
        <v>1.04016119599632</v>
      </c>
      <c r="R35" s="392">
        <v>1.7903229499642801</v>
      </c>
      <c r="S35" s="580" t="s">
        <v>572</v>
      </c>
      <c r="T35" s="623">
        <v>1.0967416014144999</v>
      </c>
      <c r="U35" s="623">
        <v>0</v>
      </c>
      <c r="V35" s="623">
        <v>-0.93715545755236995</v>
      </c>
      <c r="W35" s="623">
        <v>1.4981609401632701</v>
      </c>
      <c r="X35" s="623">
        <v>0</v>
      </c>
      <c r="Y35" s="623">
        <v>-16.268041237113401</v>
      </c>
      <c r="Z35" s="623">
        <v>-3.32491022742386E-2</v>
      </c>
      <c r="AA35" s="623">
        <v>4.0183416004703796</v>
      </c>
      <c r="AB35" s="623">
        <v>2.2624939530383701</v>
      </c>
      <c r="AC35" s="623">
        <v>0.87303900721081495</v>
      </c>
      <c r="AD35" s="623">
        <v>-0.54719562243502096</v>
      </c>
      <c r="AE35" s="623">
        <v>2.69688324271949</v>
      </c>
      <c r="AF35" s="623">
        <v>-3.98009950248756E-2</v>
      </c>
      <c r="AG35" s="623">
        <v>1.26430662762843</v>
      </c>
      <c r="AH35" s="623">
        <v>1.9641825534373201</v>
      </c>
      <c r="AI35" s="623">
        <v>1.08911699839355E-2</v>
      </c>
      <c r="AJ35" s="623">
        <v>0.83646667343013403</v>
      </c>
    </row>
    <row r="36" spans="1:36" s="297" customFormat="1" ht="12.2" customHeight="1">
      <c r="A36" s="577" t="s">
        <v>580</v>
      </c>
      <c r="B36" s="378">
        <v>4.1451543293409303</v>
      </c>
      <c r="C36" s="378">
        <v>-1</v>
      </c>
      <c r="D36" s="378">
        <v>0</v>
      </c>
      <c r="E36" s="378">
        <v>1.21021963245182</v>
      </c>
      <c r="F36" s="378">
        <v>3.1521803443583201</v>
      </c>
      <c r="G36" s="378">
        <v>2.2172949002217299</v>
      </c>
      <c r="H36" s="378">
        <v>1.7305224879715599</v>
      </c>
      <c r="I36" s="378">
        <v>-0.51433567102937305</v>
      </c>
      <c r="J36" s="378">
        <v>1.5479914136767901</v>
      </c>
      <c r="K36" s="378">
        <v>5.0418766058260198</v>
      </c>
      <c r="L36" s="378">
        <v>0</v>
      </c>
      <c r="M36" s="378">
        <v>1.96627060176313</v>
      </c>
      <c r="N36" s="378">
        <v>0.32749304077288299</v>
      </c>
      <c r="O36" s="378">
        <v>4.0117647058823502</v>
      </c>
      <c r="P36" s="378">
        <v>0</v>
      </c>
      <c r="Q36" s="378">
        <v>1.52539235282024</v>
      </c>
      <c r="R36" s="378">
        <v>2.50356570033804</v>
      </c>
      <c r="S36" s="577" t="s">
        <v>580</v>
      </c>
      <c r="T36" s="624">
        <v>-0.77196851972529901</v>
      </c>
      <c r="U36" s="624">
        <v>0</v>
      </c>
      <c r="V36" s="624">
        <v>-15.154349859681901</v>
      </c>
      <c r="W36" s="624">
        <v>2.2285399853264898</v>
      </c>
      <c r="X36" s="624">
        <v>0</v>
      </c>
      <c r="Y36" s="624">
        <v>3.3894691963333998</v>
      </c>
      <c r="Z36" s="624">
        <v>0.146510388918487</v>
      </c>
      <c r="AA36" s="624">
        <v>2.8674766286853202</v>
      </c>
      <c r="AB36" s="624">
        <v>2.2214614477538102</v>
      </c>
      <c r="AC36" s="624">
        <v>0.47001776369484799</v>
      </c>
      <c r="AD36" s="624">
        <v>-0.13661202185792301</v>
      </c>
      <c r="AE36" s="624">
        <v>0.39993514565205601</v>
      </c>
      <c r="AF36" s="624">
        <v>3.9816842524387802E-2</v>
      </c>
      <c r="AG36" s="624">
        <v>1.56799134901325</v>
      </c>
      <c r="AH36" s="624">
        <v>5.6776556776556797</v>
      </c>
      <c r="AI36" s="624">
        <v>-1.08899839372737E-2</v>
      </c>
      <c r="AJ36" s="624">
        <v>2.46786183960086</v>
      </c>
    </row>
    <row r="37" spans="1:36" s="297" customFormat="1" ht="12.2" customHeight="1">
      <c r="A37" s="580" t="s">
        <v>581</v>
      </c>
      <c r="B37" s="392">
        <v>-4.6033996225982401</v>
      </c>
      <c r="C37" s="392">
        <v>-0.99009900990098998</v>
      </c>
      <c r="D37" s="392">
        <v>0</v>
      </c>
      <c r="E37" s="392">
        <v>-1.40679089636886</v>
      </c>
      <c r="F37" s="392">
        <v>-2.7546426156877999</v>
      </c>
      <c r="G37" s="392">
        <v>-2.2960819805310502</v>
      </c>
      <c r="H37" s="392">
        <v>-2.1851375280986902</v>
      </c>
      <c r="I37" s="392">
        <v>-0.11218551404549899</v>
      </c>
      <c r="J37" s="392">
        <v>-1.3635483714852601</v>
      </c>
      <c r="K37" s="392">
        <v>-1.6829604356669501</v>
      </c>
      <c r="L37" s="392">
        <v>0</v>
      </c>
      <c r="M37" s="392">
        <v>-4.2393099651312198</v>
      </c>
      <c r="N37" s="392">
        <v>-0.58603288295621003</v>
      </c>
      <c r="O37" s="392">
        <v>-5.2344054852555901</v>
      </c>
      <c r="P37" s="392">
        <v>0</v>
      </c>
      <c r="Q37" s="392">
        <v>-1.7245238696068801</v>
      </c>
      <c r="R37" s="392">
        <v>-4.6529611832688502</v>
      </c>
      <c r="S37" s="580" t="s">
        <v>581</v>
      </c>
      <c r="T37" s="623">
        <v>-3.53388330641496</v>
      </c>
      <c r="U37" s="623">
        <v>0</v>
      </c>
      <c r="V37" s="623">
        <v>2.5911708253358898</v>
      </c>
      <c r="W37" s="623">
        <v>-1.25871592864258</v>
      </c>
      <c r="X37" s="623">
        <v>0.24630541871921199</v>
      </c>
      <c r="Y37" s="623">
        <v>-5.7590571218107502</v>
      </c>
      <c r="Z37" s="623">
        <v>2.7977990647357402E-2</v>
      </c>
      <c r="AA37" s="623">
        <v>-6.8873761674559901</v>
      </c>
      <c r="AB37" s="623">
        <v>-2.41285868072312</v>
      </c>
      <c r="AC37" s="623">
        <v>5.90871752006802E-2</v>
      </c>
      <c r="AD37" s="623">
        <v>1.10497237569061</v>
      </c>
      <c r="AE37" s="623">
        <v>-1.1380636888224001</v>
      </c>
      <c r="AF37" s="623">
        <v>-3.98009950248756E-2</v>
      </c>
      <c r="AG37" s="623">
        <v>-1.88328912466844</v>
      </c>
      <c r="AH37" s="623">
        <v>-6.71981776765376</v>
      </c>
      <c r="AI37" s="623">
        <v>0</v>
      </c>
      <c r="AJ37" s="623">
        <v>-2.33556212749532</v>
      </c>
    </row>
    <row r="38" spans="1:36" s="297" customFormat="1" ht="12.2" customHeight="1">
      <c r="A38" s="577" t="s">
        <v>573</v>
      </c>
      <c r="B38" s="378">
        <v>-0.75723834086481001</v>
      </c>
      <c r="C38" s="378">
        <v>-0.98039215686274495</v>
      </c>
      <c r="D38" s="378">
        <v>-2.6514649343762402E-2</v>
      </c>
      <c r="E38" s="378">
        <v>0.147525263701409</v>
      </c>
      <c r="F38" s="378">
        <v>0.91890950265656302</v>
      </c>
      <c r="G38" s="378">
        <v>2.15036543109222</v>
      </c>
      <c r="H38" s="378">
        <v>2.22452650195229</v>
      </c>
      <c r="I38" s="378">
        <v>-7.2612852474888107E-2</v>
      </c>
      <c r="J38" s="378">
        <v>0.54315100571129704</v>
      </c>
      <c r="K38" s="378">
        <v>1.1850622406639</v>
      </c>
      <c r="L38" s="378">
        <v>0</v>
      </c>
      <c r="M38" s="378">
        <v>2.5327412313713702</v>
      </c>
      <c r="N38" s="378">
        <v>0.163052339801076</v>
      </c>
      <c r="O38" s="378">
        <v>1.32738364211478</v>
      </c>
      <c r="P38" s="378">
        <v>0</v>
      </c>
      <c r="Q38" s="378">
        <v>1.27279457837565</v>
      </c>
      <c r="R38" s="378">
        <v>0.92412470705538496</v>
      </c>
      <c r="S38" s="577" t="s">
        <v>573</v>
      </c>
      <c r="T38" s="624">
        <v>-0.62518320607018796</v>
      </c>
      <c r="U38" s="624">
        <v>0</v>
      </c>
      <c r="V38" s="624">
        <v>-8.1128747795414498</v>
      </c>
      <c r="W38" s="624">
        <v>1.4422193643211501</v>
      </c>
      <c r="X38" s="624">
        <v>-2.32567684036281E-2</v>
      </c>
      <c r="Y38" s="624">
        <v>-3.4400258648561302</v>
      </c>
      <c r="Z38" s="624">
        <v>-5.3263026138830098E-2</v>
      </c>
      <c r="AA38" s="624">
        <v>1.43504531722054</v>
      </c>
      <c r="AB38" s="624">
        <v>1.31633382225732</v>
      </c>
      <c r="AC38" s="624">
        <v>-2.97749112755668E-2</v>
      </c>
      <c r="AD38" s="624">
        <v>10.365853658536601</v>
      </c>
      <c r="AE38" s="624">
        <v>1.8724145438711099</v>
      </c>
      <c r="AF38" s="624">
        <v>0</v>
      </c>
      <c r="AG38" s="624">
        <v>1.4668281523348099</v>
      </c>
      <c r="AH38" s="624">
        <v>2.5551175354066298</v>
      </c>
      <c r="AI38" s="624">
        <v>1.36143331699613E-2</v>
      </c>
      <c r="AJ38" s="624">
        <v>2.05984877033826</v>
      </c>
    </row>
    <row r="39" spans="1:36" s="297" customFormat="1" ht="12.2" customHeight="1">
      <c r="A39" s="580" t="s">
        <v>582</v>
      </c>
      <c r="B39" s="392">
        <v>-1.13704373760997</v>
      </c>
      <c r="C39" s="392">
        <v>-0.970873786407767</v>
      </c>
      <c r="D39" s="392">
        <v>2.6521681474605499E-2</v>
      </c>
      <c r="E39" s="392">
        <v>3.68949232585596E-2</v>
      </c>
      <c r="F39" s="392">
        <v>-0.51126516464471405</v>
      </c>
      <c r="G39" s="392">
        <v>1.52540869719455</v>
      </c>
      <c r="H39" s="392">
        <v>1.63208863017715</v>
      </c>
      <c r="I39" s="392">
        <v>1.9109010535434501E-3</v>
      </c>
      <c r="J39" s="392">
        <v>0.563337207168634</v>
      </c>
      <c r="K39" s="392">
        <v>2.6755282890252201</v>
      </c>
      <c r="L39" s="392">
        <v>0</v>
      </c>
      <c r="M39" s="392">
        <v>-2.5202685351627001</v>
      </c>
      <c r="N39" s="392">
        <v>3.2621105855488497E-2</v>
      </c>
      <c r="O39" s="392">
        <v>-0.77345589059522502</v>
      </c>
      <c r="P39" s="392">
        <v>0</v>
      </c>
      <c r="Q39" s="392">
        <v>0.17103379767322599</v>
      </c>
      <c r="R39" s="392">
        <v>-0.63454412746544298</v>
      </c>
      <c r="S39" s="580" t="s">
        <v>582</v>
      </c>
      <c r="T39" s="623">
        <v>-2.1346137567132901</v>
      </c>
      <c r="U39" s="623">
        <v>0</v>
      </c>
      <c r="V39" s="623">
        <v>-8.8105726872246701E-2</v>
      </c>
      <c r="W39" s="623">
        <v>-1.89257390050469</v>
      </c>
      <c r="X39" s="623">
        <v>0.244106474307108</v>
      </c>
      <c r="Y39" s="623">
        <v>-3.88440024860162</v>
      </c>
      <c r="Z39" s="623">
        <v>0.113312181726078</v>
      </c>
      <c r="AA39" s="623">
        <v>-2.5430251761734302</v>
      </c>
      <c r="AB39" s="623">
        <v>-0.40453983593662202</v>
      </c>
      <c r="AC39" s="623">
        <v>1.4578268051082399</v>
      </c>
      <c r="AD39" s="623">
        <v>2.1806853582554502</v>
      </c>
      <c r="AE39" s="623">
        <v>2.7229521945764601</v>
      </c>
      <c r="AF39" s="623">
        <v>0</v>
      </c>
      <c r="AG39" s="623">
        <v>0.09</v>
      </c>
      <c r="AH39" s="623">
        <v>0.34</v>
      </c>
      <c r="AI39" s="623">
        <v>0.01</v>
      </c>
      <c r="AJ39" s="623">
        <v>2.12</v>
      </c>
    </row>
    <row r="40" spans="1:36" s="297" customFormat="1" ht="12.2" customHeight="1">
      <c r="A40" s="577" t="s">
        <v>583</v>
      </c>
      <c r="B40" s="378">
        <v>-1.37</v>
      </c>
      <c r="C40" s="378">
        <v>-1.44</v>
      </c>
      <c r="D40" s="378">
        <v>0.01</v>
      </c>
      <c r="E40" s="378">
        <v>-0.35</v>
      </c>
      <c r="F40" s="378">
        <v>-2.2323886982674601</v>
      </c>
      <c r="G40" s="378">
        <v>-2.48</v>
      </c>
      <c r="H40" s="378">
        <v>-2.6</v>
      </c>
      <c r="I40" s="378">
        <v>0.2</v>
      </c>
      <c r="J40" s="378">
        <v>-1.1499999999999999</v>
      </c>
      <c r="K40" s="378">
        <v>-2.15</v>
      </c>
      <c r="L40" s="378">
        <v>0</v>
      </c>
      <c r="M40" s="378">
        <v>-2.5106398197489401</v>
      </c>
      <c r="N40" s="378">
        <v>-0.34</v>
      </c>
      <c r="O40" s="378">
        <v>-3.38</v>
      </c>
      <c r="P40" s="378">
        <v>0</v>
      </c>
      <c r="Q40" s="378">
        <v>-1.1399999999999999</v>
      </c>
      <c r="R40" s="378">
        <v>-2.38</v>
      </c>
      <c r="S40" s="577" t="s">
        <v>583</v>
      </c>
      <c r="T40" s="624">
        <v>-4.96</v>
      </c>
      <c r="U40" s="624">
        <v>0</v>
      </c>
      <c r="V40" s="624">
        <v>-0.83</v>
      </c>
      <c r="W40" s="624">
        <v>-1.3</v>
      </c>
      <c r="X40" s="624">
        <v>-0.03</v>
      </c>
      <c r="Y40" s="624">
        <v>7</v>
      </c>
      <c r="Z40" s="624">
        <v>0.02</v>
      </c>
      <c r="AA40" s="624">
        <v>1.1299999999999999</v>
      </c>
      <c r="AB40" s="624">
        <v>-1.1478505572629301</v>
      </c>
      <c r="AC40" s="624">
        <v>-6.0059262380295904</v>
      </c>
      <c r="AD40" s="624">
        <v>8.9058524173027998</v>
      </c>
      <c r="AE40" s="624">
        <v>-1.27</v>
      </c>
      <c r="AF40" s="624">
        <v>0</v>
      </c>
      <c r="AG40" s="624">
        <v>-1.19776417354272</v>
      </c>
      <c r="AH40" s="624">
        <v>-1.67</v>
      </c>
      <c r="AI40" s="624">
        <v>-0.02</v>
      </c>
      <c r="AJ40" s="624">
        <v>-1.27246513826458</v>
      </c>
    </row>
    <row r="41" spans="1:36" s="297" customFormat="1" ht="12.2" customHeight="1">
      <c r="A41" s="580" t="s">
        <v>574</v>
      </c>
      <c r="B41" s="392">
        <v>2.2938226198026301</v>
      </c>
      <c r="C41" s="392">
        <v>-1.4150943396226401</v>
      </c>
      <c r="D41" s="392">
        <v>0</v>
      </c>
      <c r="E41" s="392">
        <v>2.7269980359570898</v>
      </c>
      <c r="F41" s="392">
        <v>-2.5530948793626602</v>
      </c>
      <c r="G41" s="392">
        <v>1.5</v>
      </c>
      <c r="H41" s="392">
        <v>1.64881240975987</v>
      </c>
      <c r="I41" s="392">
        <v>0.05</v>
      </c>
      <c r="J41" s="392">
        <v>0.72658838433053996</v>
      </c>
      <c r="K41" s="392">
        <v>-0.23</v>
      </c>
      <c r="L41" s="392">
        <v>0</v>
      </c>
      <c r="M41" s="392">
        <v>-3.1385318876225399</v>
      </c>
      <c r="N41" s="392">
        <v>4.8788420881444097E-2</v>
      </c>
      <c r="O41" s="392">
        <v>-1.4515956879069301</v>
      </c>
      <c r="P41" s="392">
        <v>0</v>
      </c>
      <c r="Q41" s="392">
        <v>0.13520988261323799</v>
      </c>
      <c r="R41" s="392">
        <v>1.72242501868036</v>
      </c>
      <c r="S41" s="580" t="s">
        <v>574</v>
      </c>
      <c r="T41" s="623">
        <v>3.3395227669539702</v>
      </c>
      <c r="U41" s="623">
        <v>0</v>
      </c>
      <c r="V41" s="623">
        <v>-0.26143790849673199</v>
      </c>
      <c r="W41" s="623">
        <v>0.82511210762331799</v>
      </c>
      <c r="X41" s="623">
        <v>0.107051686750295</v>
      </c>
      <c r="Y41" s="623">
        <v>-10.1195457262403</v>
      </c>
      <c r="Z41" s="623">
        <v>-2.6658846738290099E-2</v>
      </c>
      <c r="AA41" s="623">
        <v>1.58</v>
      </c>
      <c r="AB41" s="623">
        <v>-0.14050656313551499</v>
      </c>
      <c r="AC41" s="623">
        <v>1.0828102142473599</v>
      </c>
      <c r="AD41" s="623">
        <v>-4.22420796100731</v>
      </c>
      <c r="AE41" s="623">
        <v>0.92484260961613496</v>
      </c>
      <c r="AF41" s="623">
        <v>0</v>
      </c>
      <c r="AG41" s="623">
        <v>-5.3205639797818602E-2</v>
      </c>
      <c r="AH41" s="623">
        <v>-1.43404799091296</v>
      </c>
      <c r="AI41" s="623">
        <v>0</v>
      </c>
      <c r="AJ41" s="623">
        <v>2.3521811473907999</v>
      </c>
    </row>
    <row r="42" spans="1:36" s="297" customFormat="1" ht="12.2" customHeight="1">
      <c r="A42" s="588" t="s">
        <v>2515</v>
      </c>
      <c r="B42" s="378"/>
      <c r="C42" s="378"/>
      <c r="D42" s="378"/>
      <c r="E42" s="378"/>
      <c r="F42" s="378"/>
      <c r="G42" s="378"/>
      <c r="H42" s="378"/>
      <c r="I42" s="378"/>
      <c r="J42" s="378"/>
      <c r="K42" s="378"/>
      <c r="L42" s="378"/>
      <c r="M42" s="378"/>
      <c r="N42" s="378"/>
      <c r="O42" s="378"/>
      <c r="P42" s="378"/>
      <c r="Q42" s="378"/>
      <c r="R42" s="378"/>
      <c r="S42" s="588" t="s">
        <v>2515</v>
      </c>
      <c r="T42" s="624"/>
      <c r="U42" s="624"/>
      <c r="V42" s="624"/>
      <c r="W42" s="624"/>
      <c r="X42" s="624"/>
      <c r="Y42" s="624"/>
      <c r="Z42" s="624"/>
      <c r="AA42" s="624"/>
      <c r="AB42" s="624"/>
      <c r="AC42" s="624"/>
      <c r="AD42" s="624"/>
      <c r="AE42" s="624"/>
      <c r="AF42" s="624"/>
      <c r="AG42" s="624"/>
      <c r="AH42" s="624"/>
      <c r="AI42" s="624"/>
      <c r="AJ42" s="624"/>
    </row>
    <row r="43" spans="1:36" s="297" customFormat="1" ht="12.2" customHeight="1">
      <c r="A43" s="580" t="s">
        <v>576</v>
      </c>
      <c r="B43" s="392">
        <v>-0.25498726212541201</v>
      </c>
      <c r="C43" s="392">
        <v>-2.75229357798165</v>
      </c>
      <c r="D43" s="392">
        <v>0</v>
      </c>
      <c r="E43" s="392">
        <v>-0.120718273728686</v>
      </c>
      <c r="F43" s="392">
        <v>1.92342752962625</v>
      </c>
      <c r="G43" s="392">
        <v>1.06305906705107</v>
      </c>
      <c r="H43" s="392">
        <v>0.95308173832079202</v>
      </c>
      <c r="I43" s="392">
        <v>0.43354732784771199</v>
      </c>
      <c r="J43" s="392">
        <v>-0.19087449697883399</v>
      </c>
      <c r="K43" s="392">
        <v>-0.44057241287929</v>
      </c>
      <c r="L43" s="392">
        <v>0</v>
      </c>
      <c r="M43" s="392">
        <v>2.2455991215953</v>
      </c>
      <c r="N43" s="392">
        <v>8.1380208333324405E-2</v>
      </c>
      <c r="O43" s="392">
        <v>3.2851945761217101</v>
      </c>
      <c r="P43" s="392">
        <v>0</v>
      </c>
      <c r="Q43" s="392">
        <v>0.72743924932475501</v>
      </c>
      <c r="R43" s="392">
        <v>0.40703362570683899</v>
      </c>
      <c r="S43" s="580" t="s">
        <v>576</v>
      </c>
      <c r="T43" s="623">
        <v>6.14832465507605</v>
      </c>
      <c r="U43" s="623">
        <v>0</v>
      </c>
      <c r="V43" s="623">
        <v>1.39433782207613</v>
      </c>
      <c r="W43" s="623">
        <v>1.69646114556731</v>
      </c>
      <c r="X43" s="623">
        <v>-4.1156779893542703E-2</v>
      </c>
      <c r="Y43" s="623">
        <v>-8.7388173685358801</v>
      </c>
      <c r="Z43" s="623">
        <v>1.3331200341271301E-2</v>
      </c>
      <c r="AA43" s="623">
        <v>2.1523464458246999</v>
      </c>
      <c r="AB43" s="623">
        <v>1.57746478873239</v>
      </c>
      <c r="AC43" s="623">
        <v>2.3967083183222999</v>
      </c>
      <c r="AD43" s="623">
        <v>-6.4589665653495398</v>
      </c>
      <c r="AE43" s="623">
        <v>3.1551724137931001</v>
      </c>
      <c r="AF43" s="623">
        <v>0</v>
      </c>
      <c r="AG43" s="623">
        <v>0.96696212731667996</v>
      </c>
      <c r="AH43" s="623">
        <v>2.66763848396501</v>
      </c>
      <c r="AI43" s="623">
        <v>-5.4449919686362499E-3</v>
      </c>
      <c r="AJ43" s="623">
        <v>1.14512941397815</v>
      </c>
    </row>
    <row r="44" spans="1:36" s="297" customFormat="1" ht="12.2" customHeight="1">
      <c r="A44" s="577" t="s">
        <v>577</v>
      </c>
      <c r="B44" s="378">
        <v>-2.6015038786249902</v>
      </c>
      <c r="C44" s="378">
        <v>-0.45662100456621002</v>
      </c>
      <c r="D44" s="378">
        <v>0</v>
      </c>
      <c r="E44" s="378">
        <v>-2.0616271336732401</v>
      </c>
      <c r="F44" s="378">
        <v>-0.70462742476779305</v>
      </c>
      <c r="G44" s="378">
        <v>-0.873503246324984</v>
      </c>
      <c r="H44" s="378">
        <v>-0.81699597007812397</v>
      </c>
      <c r="I44" s="378">
        <v>-0.654348518636508</v>
      </c>
      <c r="J44" s="378">
        <v>-0.43877964788689799</v>
      </c>
      <c r="K44" s="378">
        <v>-0.91899698043849298</v>
      </c>
      <c r="L44" s="378">
        <v>0</v>
      </c>
      <c r="M44" s="378">
        <v>-3.4802228983624501</v>
      </c>
      <c r="N44" s="378">
        <v>-0.25974025974025999</v>
      </c>
      <c r="O44" s="378">
        <v>-2.25215517241379</v>
      </c>
      <c r="P44" s="378">
        <v>0</v>
      </c>
      <c r="Q44" s="378">
        <v>-1.2731787691349401</v>
      </c>
      <c r="R44" s="378">
        <v>-3.4052220683002599</v>
      </c>
      <c r="S44" s="577" t="s">
        <v>577</v>
      </c>
      <c r="T44" s="624">
        <v>-3.74526886084552</v>
      </c>
      <c r="U44" s="624">
        <v>0</v>
      </c>
      <c r="V44" s="624">
        <v>-7.0837438423645303</v>
      </c>
      <c r="W44" s="624">
        <v>-3.3668253128856001</v>
      </c>
      <c r="X44" s="624">
        <v>-1.50885423096443E-2</v>
      </c>
      <c r="Y44" s="624">
        <v>-4.8182762201453802</v>
      </c>
      <c r="Z44" s="624">
        <v>-1.86601977980967E-2</v>
      </c>
      <c r="AA44" s="624">
        <v>-3.6470868265848599</v>
      </c>
      <c r="AB44" s="624">
        <v>-1.36697043787508</v>
      </c>
      <c r="AC44" s="624">
        <v>-2.7314644042788601</v>
      </c>
      <c r="AD44" s="624">
        <v>3.13479623824451</v>
      </c>
      <c r="AE44" s="624">
        <v>-0.922446190638879</v>
      </c>
      <c r="AF44" s="624">
        <v>-80.675306695381295</v>
      </c>
      <c r="AG44" s="624">
        <v>-0.95770151636073397</v>
      </c>
      <c r="AH44" s="624">
        <v>-1.85979971387697</v>
      </c>
      <c r="AI44" s="624">
        <v>6.8067032413520797E-3</v>
      </c>
      <c r="AJ44" s="624">
        <v>-1.02322795922659</v>
      </c>
    </row>
    <row r="45" spans="1:36" s="297" customFormat="1" ht="12.2" customHeight="1">
      <c r="A45" s="580" t="s">
        <v>571</v>
      </c>
      <c r="B45" s="392">
        <v>-1.24285759781206</v>
      </c>
      <c r="C45" s="392">
        <v>-0.68027210884353695</v>
      </c>
      <c r="D45" s="392">
        <v>0</v>
      </c>
      <c r="E45" s="392">
        <v>0.118369460679145</v>
      </c>
      <c r="F45" s="392">
        <v>0.131070736366552</v>
      </c>
      <c r="G45" s="392">
        <v>-3.2582342015341199</v>
      </c>
      <c r="H45" s="392">
        <v>-3.2399782548073301</v>
      </c>
      <c r="I45" s="392">
        <v>0.33369984913186901</v>
      </c>
      <c r="J45" s="392">
        <v>-0.76812203471262996</v>
      </c>
      <c r="K45" s="392">
        <v>-1.95333869670153</v>
      </c>
      <c r="L45" s="392">
        <v>0</v>
      </c>
      <c r="M45" s="392">
        <v>-1.8883745891192101</v>
      </c>
      <c r="N45" s="392">
        <v>-0.43639890092128703</v>
      </c>
      <c r="O45" s="392">
        <v>-1.4129395516838399</v>
      </c>
      <c r="P45" s="392">
        <v>0</v>
      </c>
      <c r="Q45" s="392">
        <v>-0.78431437699255901</v>
      </c>
      <c r="R45" s="392">
        <v>-0.176269611265854</v>
      </c>
      <c r="S45" s="580" t="s">
        <v>571</v>
      </c>
      <c r="T45" s="623">
        <v>-2.0614363496861601</v>
      </c>
      <c r="U45" s="623">
        <v>0</v>
      </c>
      <c r="V45" s="623">
        <v>6.7859021567596001</v>
      </c>
      <c r="W45" s="623">
        <v>-0.36880927291886201</v>
      </c>
      <c r="X45" s="623">
        <v>-1.50862660120142E-2</v>
      </c>
      <c r="Y45" s="623">
        <v>-1.0383137784238401E-2</v>
      </c>
      <c r="Z45" s="623">
        <v>0</v>
      </c>
      <c r="AA45" s="623">
        <v>-2.0146676094610201</v>
      </c>
      <c r="AB45" s="623">
        <v>-1.39898454907404</v>
      </c>
      <c r="AC45" s="623">
        <v>-1.52203131243416</v>
      </c>
      <c r="AD45" s="623">
        <v>-1.2383900928792599</v>
      </c>
      <c r="AE45" s="623">
        <v>-4.1113841113841101</v>
      </c>
      <c r="AF45" s="623">
        <v>0</v>
      </c>
      <c r="AG45" s="623">
        <v>-1.4162077104641999</v>
      </c>
      <c r="AH45" s="623">
        <v>-4.3775649794801597</v>
      </c>
      <c r="AI45" s="623">
        <v>-6.8062399607960603E-3</v>
      </c>
      <c r="AJ45" s="623">
        <v>-4.41823727734897</v>
      </c>
    </row>
    <row r="46" spans="1:36" s="297" customFormat="1" ht="12.2" customHeight="1">
      <c r="A46" s="577" t="s">
        <v>578</v>
      </c>
      <c r="B46" s="378">
        <v>-0.33612315970047801</v>
      </c>
      <c r="C46" s="378">
        <v>-0.22624434389140299</v>
      </c>
      <c r="D46" s="378">
        <v>-5.3022269353128301E-2</v>
      </c>
      <c r="E46" s="378">
        <v>-2.2349197164761998</v>
      </c>
      <c r="F46" s="378">
        <v>-8.6376238175510905E-2</v>
      </c>
      <c r="G46" s="378">
        <v>0.29507334172337102</v>
      </c>
      <c r="H46" s="378">
        <v>0.40673480014749003</v>
      </c>
      <c r="I46" s="378">
        <v>8.3112233481443601E-3</v>
      </c>
      <c r="J46" s="378">
        <v>0</v>
      </c>
      <c r="K46" s="378">
        <v>-2.27987421383648</v>
      </c>
      <c r="L46" s="378">
        <v>0</v>
      </c>
      <c r="M46" s="378">
        <v>-3.01780504979378E-2</v>
      </c>
      <c r="N46" s="378">
        <v>0</v>
      </c>
      <c r="O46" s="378">
        <v>-1.2484263533361299</v>
      </c>
      <c r="P46" s="378">
        <v>0</v>
      </c>
      <c r="Q46" s="378">
        <v>-0.40282182104584802</v>
      </c>
      <c r="R46" s="378">
        <v>-1.74051377843911</v>
      </c>
      <c r="S46" s="577" t="s">
        <v>578</v>
      </c>
      <c r="T46" s="624">
        <v>-2.9532874610878399</v>
      </c>
      <c r="U46" s="624">
        <v>0</v>
      </c>
      <c r="V46" s="624">
        <v>1.4046941678520599</v>
      </c>
      <c r="W46" s="624">
        <v>0.193559739574169</v>
      </c>
      <c r="X46" s="624">
        <v>-0.25444596443228501</v>
      </c>
      <c r="Y46" s="624">
        <v>3.4840304080371798</v>
      </c>
      <c r="Z46" s="624">
        <v>-1.0661833302236299E-2</v>
      </c>
      <c r="AA46" s="624">
        <v>-1.44359967130346E-2</v>
      </c>
      <c r="AB46" s="624">
        <v>0.329827390332393</v>
      </c>
      <c r="AC46" s="624">
        <v>-1.4445538351382801</v>
      </c>
      <c r="AD46" s="624">
        <v>-1.3363879343260801</v>
      </c>
      <c r="AE46" s="624">
        <v>1.5243902439024399</v>
      </c>
      <c r="AF46" s="624">
        <v>0</v>
      </c>
      <c r="AG46" s="624">
        <v>2.62329485834208E-2</v>
      </c>
      <c r="AH46" s="624">
        <v>1.28862408202854</v>
      </c>
      <c r="AI46" s="624">
        <v>0</v>
      </c>
      <c r="AJ46" s="624">
        <v>9.0475408362933399E-2</v>
      </c>
    </row>
    <row r="47" spans="1:36" s="297" customFormat="1" ht="12.2" customHeight="1">
      <c r="A47" s="580" t="s">
        <v>579</v>
      </c>
      <c r="B47" s="392">
        <v>3.8117648900224599</v>
      </c>
      <c r="C47" s="392">
        <v>0</v>
      </c>
      <c r="D47" s="392">
        <v>0.15932023366967599</v>
      </c>
      <c r="E47" s="392">
        <v>1.7403142131792899</v>
      </c>
      <c r="F47" s="392">
        <v>1.0715593229885401</v>
      </c>
      <c r="G47" s="392">
        <v>3.4626588983050799</v>
      </c>
      <c r="H47" s="392">
        <v>3.3443243033131802</v>
      </c>
      <c r="I47" s="392">
        <v>0.21013921723141599</v>
      </c>
      <c r="J47" s="392">
        <v>-0.12236524826949099</v>
      </c>
      <c r="K47" s="392">
        <v>2.6733824099186401</v>
      </c>
      <c r="L47" s="392">
        <v>0</v>
      </c>
      <c r="M47" s="392">
        <v>1.2699921898876001</v>
      </c>
      <c r="N47" s="392">
        <v>0.32430679422733899</v>
      </c>
      <c r="O47" s="392">
        <v>2.4285407264130701</v>
      </c>
      <c r="P47" s="392">
        <v>0</v>
      </c>
      <c r="Q47" s="392">
        <v>1.7705739020319999</v>
      </c>
      <c r="R47" s="392">
        <v>5.3739390658547004</v>
      </c>
      <c r="S47" s="580" t="s">
        <v>579</v>
      </c>
      <c r="T47" s="623">
        <v>4.5675422138836801</v>
      </c>
      <c r="U47" s="623">
        <v>0</v>
      </c>
      <c r="V47" s="623">
        <v>-1.6783216783216801</v>
      </c>
      <c r="W47" s="623">
        <v>2.4794878730502199</v>
      </c>
      <c r="X47" s="623">
        <v>0.23997257456290699</v>
      </c>
      <c r="Y47" s="623">
        <v>4.9239007891769999</v>
      </c>
      <c r="Z47" s="623">
        <v>1.06629701703409E-2</v>
      </c>
      <c r="AA47" s="623">
        <v>4.78428999740132</v>
      </c>
      <c r="AB47" s="623">
        <v>2.3479989497768301</v>
      </c>
      <c r="AC47" s="623">
        <v>7.9532553611888099</v>
      </c>
      <c r="AD47" s="623">
        <v>7.6423385555980106E-2</v>
      </c>
      <c r="AE47" s="623">
        <v>3.2095657646318401</v>
      </c>
      <c r="AF47" s="623">
        <v>0</v>
      </c>
      <c r="AG47" s="623">
        <v>1.89788826516974</v>
      </c>
      <c r="AH47" s="623">
        <v>3.3806044979229299</v>
      </c>
      <c r="AI47" s="623">
        <v>1.36147038801906E-2</v>
      </c>
      <c r="AJ47" s="623">
        <v>4.3224587637182701</v>
      </c>
    </row>
    <row r="48" spans="1:36" s="297" customFormat="1" ht="12.2" customHeight="1">
      <c r="A48" s="577" t="s">
        <v>572</v>
      </c>
      <c r="B48" s="378">
        <v>2.91628904031937</v>
      </c>
      <c r="C48" s="378">
        <v>0.45454545454545497</v>
      </c>
      <c r="D48" s="378">
        <v>-0.10610079575596799</v>
      </c>
      <c r="E48" s="378">
        <v>2.5816191734289502</v>
      </c>
      <c r="F48" s="378">
        <v>0.26967117059878298</v>
      </c>
      <c r="G48" s="378">
        <v>0.62326972330377395</v>
      </c>
      <c r="H48" s="378">
        <v>0.61075912719686798</v>
      </c>
      <c r="I48" s="378">
        <v>-5.50671370851556E-2</v>
      </c>
      <c r="J48" s="378">
        <v>0.167633009883738</v>
      </c>
      <c r="K48" s="378">
        <v>0.57803468208092501</v>
      </c>
      <c r="L48" s="378">
        <v>0</v>
      </c>
      <c r="M48" s="378">
        <v>4.3809591323148904</v>
      </c>
      <c r="N48" s="378">
        <v>0.35801464605370198</v>
      </c>
      <c r="O48" s="378">
        <v>1.26224156692057</v>
      </c>
      <c r="P48" s="378">
        <v>0</v>
      </c>
      <c r="Q48" s="378">
        <v>0.614942796511455</v>
      </c>
      <c r="R48" s="378">
        <v>2.7286157093608701</v>
      </c>
      <c r="S48" s="577" t="s">
        <v>572</v>
      </c>
      <c r="T48" s="624">
        <v>4.9315877547002698</v>
      </c>
      <c r="U48" s="624">
        <v>0</v>
      </c>
      <c r="V48" s="624">
        <v>1.7341040462427699</v>
      </c>
      <c r="W48" s="624">
        <v>0.102891801148056</v>
      </c>
      <c r="X48" s="624">
        <v>2.05733095597312E-2</v>
      </c>
      <c r="Y48" s="624">
        <v>-3.1923601637107799</v>
      </c>
      <c r="Z48" s="624">
        <v>2.6664533503986301E-2</v>
      </c>
      <c r="AA48" s="624">
        <v>-0.45866777858855401</v>
      </c>
      <c r="AB48" s="624">
        <v>1.02307604865295</v>
      </c>
      <c r="AC48" s="624">
        <v>2.7943586432934402</v>
      </c>
      <c r="AD48" s="624">
        <v>1</v>
      </c>
      <c r="AE48" s="624">
        <v>3.8315314244980399</v>
      </c>
      <c r="AF48" s="624">
        <v>0</v>
      </c>
      <c r="AG48" s="624">
        <v>0.38910505836575898</v>
      </c>
      <c r="AH48" s="624">
        <v>1.54181818181818</v>
      </c>
      <c r="AI48" s="624">
        <v>-8.1681550860379006E-3</v>
      </c>
      <c r="AJ48" s="624">
        <v>0.28000000000000003</v>
      </c>
    </row>
    <row r="49" spans="1:43" s="297" customFormat="1" ht="12.2" customHeight="1" thickBot="1">
      <c r="A49" s="1703" t="s">
        <v>580</v>
      </c>
      <c r="B49" s="1747">
        <v>-3.06856569010779</v>
      </c>
      <c r="C49" s="1747">
        <v>0</v>
      </c>
      <c r="D49" s="1747">
        <v>-1.3260840737302699E-2</v>
      </c>
      <c r="E49" s="1747">
        <v>-1.1233019853709501</v>
      </c>
      <c r="F49" s="1747">
        <v>-0.29842762426272901</v>
      </c>
      <c r="G49" s="1747">
        <v>-1.72408776115929</v>
      </c>
      <c r="H49" s="1747">
        <v>-1.7667869886026599</v>
      </c>
      <c r="I49" s="1747">
        <v>-0.119595804553594</v>
      </c>
      <c r="J49" s="1747">
        <v>0.111278195488722</v>
      </c>
      <c r="K49" s="1747">
        <v>-2.4363970471754901</v>
      </c>
      <c r="L49" s="1747">
        <v>0</v>
      </c>
      <c r="M49" s="1747">
        <v>-4.4307442159818402</v>
      </c>
      <c r="N49" s="1747">
        <v>-0.146246343841404</v>
      </c>
      <c r="O49" s="1747">
        <v>-2.86439065637882</v>
      </c>
      <c r="P49" s="1747">
        <v>0</v>
      </c>
      <c r="Q49" s="1747">
        <v>-0.93165460380550802</v>
      </c>
      <c r="R49" s="1747">
        <v>-2.98022809764523</v>
      </c>
      <c r="S49" s="1703" t="s">
        <v>580</v>
      </c>
      <c r="T49" s="1746">
        <v>-2.69902689449084</v>
      </c>
      <c r="U49" s="1746">
        <v>0</v>
      </c>
      <c r="V49" s="1746">
        <v>0.34802784222737798</v>
      </c>
      <c r="W49" s="1746">
        <v>-1.71996274448929</v>
      </c>
      <c r="X49" s="1746">
        <v>0</v>
      </c>
      <c r="Y49" s="1746">
        <v>2.2315202231520201</v>
      </c>
      <c r="Z49" s="1746">
        <v>5.3331911149035998E-3</v>
      </c>
      <c r="AA49" s="1746">
        <v>-2.9819606550499702</v>
      </c>
      <c r="AB49" s="1746">
        <v>-1.4672939068100399</v>
      </c>
      <c r="AC49" s="1746">
        <v>-3.4641124470267899</v>
      </c>
      <c r="AD49" s="1746">
        <v>2.4675735526731999</v>
      </c>
      <c r="AE49" s="1746">
        <v>-2.3323276862381102</v>
      </c>
      <c r="AF49" s="1746">
        <v>0</v>
      </c>
      <c r="AG49" s="1746">
        <v>-0.86459164671455202</v>
      </c>
      <c r="AH49" s="1746">
        <v>-3.1144306651634701</v>
      </c>
      <c r="AI49" s="1746">
        <v>-4.0839107529370101E-3</v>
      </c>
      <c r="AJ49" s="1746">
        <v>-0.25135497275526703</v>
      </c>
    </row>
    <row r="50" spans="1:43" s="13" customFormat="1" ht="12" customHeight="1">
      <c r="A50" s="625" t="s">
        <v>609</v>
      </c>
      <c r="B50" s="2412" t="s">
        <v>1388</v>
      </c>
      <c r="C50" s="2412"/>
      <c r="D50" s="2412"/>
      <c r="E50" s="2412"/>
      <c r="F50" s="2412"/>
      <c r="G50" s="2412"/>
      <c r="H50" s="213"/>
      <c r="I50" s="1117" t="s">
        <v>266</v>
      </c>
      <c r="J50" s="1115" t="s">
        <v>1308</v>
      </c>
      <c r="K50" s="33"/>
      <c r="L50" s="33"/>
      <c r="S50" s="1117" t="s">
        <v>266</v>
      </c>
      <c r="T50" s="1115" t="s">
        <v>1308</v>
      </c>
      <c r="U50" s="33"/>
      <c r="V50" s="33"/>
    </row>
    <row r="51" spans="1:43">
      <c r="A51" s="13"/>
      <c r="B51" s="1245"/>
      <c r="C51" s="1245"/>
      <c r="D51" s="662"/>
      <c r="E51" s="662"/>
      <c r="F51" s="662"/>
      <c r="G51" s="662"/>
      <c r="H51" s="662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1:43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</row>
    <row r="53" spans="1:4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</row>
    <row r="54" spans="1:43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</row>
    <row r="55" spans="1:43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</row>
    <row r="56" spans="1:43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</row>
    <row r="57" spans="1:43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0:G50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sqref="A1:J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64" t="s">
        <v>610</v>
      </c>
      <c r="B1" s="2464"/>
      <c r="C1" s="2464"/>
      <c r="D1" s="2464"/>
      <c r="E1" s="2464"/>
      <c r="F1" s="2464"/>
      <c r="G1" s="2464"/>
      <c r="H1" s="2464"/>
      <c r="I1" s="2464"/>
      <c r="J1" s="2464"/>
      <c r="K1" s="2209" t="s">
        <v>318</v>
      </c>
      <c r="L1" s="2465"/>
      <c r="M1" s="2465"/>
      <c r="N1" s="2465"/>
      <c r="O1" s="2465"/>
      <c r="P1" s="2465"/>
      <c r="Q1" s="2465"/>
      <c r="R1" s="2465"/>
      <c r="S1" s="2207" t="s">
        <v>1153</v>
      </c>
      <c r="T1" s="2207"/>
      <c r="U1" s="2207"/>
    </row>
    <row r="2" spans="1:22" s="113" customFormat="1" ht="30" customHeight="1">
      <c r="A2" s="1040" t="s">
        <v>599</v>
      </c>
      <c r="B2" s="1040" t="s">
        <v>321</v>
      </c>
      <c r="C2" s="203" t="s">
        <v>828</v>
      </c>
      <c r="D2" s="1040" t="s">
        <v>1129</v>
      </c>
      <c r="E2" s="2467" t="s">
        <v>1055</v>
      </c>
      <c r="F2" s="2468"/>
      <c r="G2" s="1040" t="s">
        <v>320</v>
      </c>
      <c r="H2" s="1040" t="s">
        <v>1059</v>
      </c>
      <c r="I2" s="1050" t="s">
        <v>1052</v>
      </c>
      <c r="J2" s="1040" t="s">
        <v>1058</v>
      </c>
      <c r="K2" s="1040" t="s">
        <v>1054</v>
      </c>
      <c r="L2" s="2470" t="s">
        <v>1287</v>
      </c>
      <c r="M2" s="2471"/>
      <c r="N2" s="2472"/>
      <c r="O2" s="2467" t="s">
        <v>1286</v>
      </c>
      <c r="P2" s="2468"/>
      <c r="Q2" s="1040" t="s">
        <v>804</v>
      </c>
      <c r="R2" s="1040" t="s">
        <v>247</v>
      </c>
      <c r="S2" s="2466" t="s">
        <v>1053</v>
      </c>
      <c r="T2" s="2466"/>
      <c r="U2" s="2466"/>
      <c r="V2" s="131"/>
    </row>
    <row r="3" spans="1:22" s="652" customFormat="1" ht="35.1" customHeight="1">
      <c r="A3" s="649" t="s">
        <v>600</v>
      </c>
      <c r="B3" s="649" t="s">
        <v>601</v>
      </c>
      <c r="C3" s="649" t="s">
        <v>552</v>
      </c>
      <c r="D3" s="656" t="s">
        <v>1130</v>
      </c>
      <c r="E3" s="649" t="s">
        <v>611</v>
      </c>
      <c r="F3" s="649" t="s">
        <v>612</v>
      </c>
      <c r="G3" s="649" t="s">
        <v>337</v>
      </c>
      <c r="H3" s="649" t="s">
        <v>613</v>
      </c>
      <c r="I3" s="657" t="s">
        <v>553</v>
      </c>
      <c r="J3" s="650" t="s">
        <v>623</v>
      </c>
      <c r="K3" s="650" t="s">
        <v>624</v>
      </c>
      <c r="L3" s="650" t="s">
        <v>625</v>
      </c>
      <c r="M3" s="650" t="s">
        <v>1285</v>
      </c>
      <c r="N3" s="650" t="s">
        <v>554</v>
      </c>
      <c r="O3" s="650" t="s">
        <v>614</v>
      </c>
      <c r="P3" s="650" t="s">
        <v>530</v>
      </c>
      <c r="Q3" s="650" t="s">
        <v>41</v>
      </c>
      <c r="R3" s="650" t="s">
        <v>615</v>
      </c>
      <c r="S3" s="650" t="s">
        <v>626</v>
      </c>
      <c r="T3" s="650" t="s">
        <v>627</v>
      </c>
      <c r="U3" s="650" t="s">
        <v>628</v>
      </c>
      <c r="V3" s="651"/>
    </row>
    <row r="4" spans="1:22" s="113" customFormat="1" ht="11.1" customHeight="1">
      <c r="A4" s="132" t="s">
        <v>498</v>
      </c>
      <c r="B4" s="132">
        <v>1</v>
      </c>
      <c r="C4" s="132">
        <v>2</v>
      </c>
      <c r="D4" s="132">
        <v>3</v>
      </c>
      <c r="E4" s="132">
        <v>4</v>
      </c>
      <c r="F4" s="132">
        <v>5</v>
      </c>
      <c r="G4" s="132">
        <v>6</v>
      </c>
      <c r="H4" s="132">
        <v>7</v>
      </c>
      <c r="I4" s="132">
        <v>8</v>
      </c>
      <c r="J4" s="132">
        <v>9</v>
      </c>
      <c r="K4" s="132">
        <v>10</v>
      </c>
      <c r="L4" s="132">
        <v>11</v>
      </c>
      <c r="M4" s="132">
        <v>12</v>
      </c>
      <c r="N4" s="132">
        <v>13</v>
      </c>
      <c r="O4" s="132">
        <v>14</v>
      </c>
      <c r="P4" s="132">
        <v>15</v>
      </c>
      <c r="Q4" s="132">
        <v>16</v>
      </c>
      <c r="R4" s="132">
        <v>17</v>
      </c>
      <c r="S4" s="132">
        <v>18</v>
      </c>
      <c r="T4" s="132">
        <v>19</v>
      </c>
      <c r="U4" s="132">
        <v>20</v>
      </c>
      <c r="V4" s="133"/>
    </row>
    <row r="5" spans="1:22" s="170" customFormat="1" ht="11.45" customHeight="1">
      <c r="A5" s="1034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05"/>
    </row>
    <row r="6" spans="1:22" ht="11.45" customHeight="1">
      <c r="A6" s="325">
        <v>2003</v>
      </c>
      <c r="B6" s="337">
        <v>363.50900000000001</v>
      </c>
      <c r="C6" s="337">
        <v>27.9542</v>
      </c>
      <c r="D6" s="337">
        <v>13.82</v>
      </c>
      <c r="E6" s="337">
        <v>26.7333</v>
      </c>
      <c r="F6" s="337">
        <v>28.852499999999999</v>
      </c>
      <c r="G6" s="337">
        <v>63.4437</v>
      </c>
      <c r="H6" s="337">
        <v>149.333</v>
      </c>
      <c r="I6" s="337">
        <v>138.89599999999999</v>
      </c>
      <c r="J6" s="337">
        <v>199.46100000000001</v>
      </c>
      <c r="K6" s="337">
        <v>248.75399999999999</v>
      </c>
      <c r="L6" s="337">
        <v>165.548</v>
      </c>
      <c r="M6" s="337">
        <v>131.571</v>
      </c>
      <c r="N6" s="337">
        <v>152.44999999999999</v>
      </c>
      <c r="O6" s="337">
        <v>410.37299999999999</v>
      </c>
      <c r="P6" s="337">
        <v>425.53800000000001</v>
      </c>
      <c r="Q6" s="337">
        <v>214.65600000000001</v>
      </c>
      <c r="R6" s="337">
        <v>500.28300000000002</v>
      </c>
      <c r="S6" s="337">
        <v>27.1768</v>
      </c>
      <c r="T6" s="337">
        <v>6.9257099999999996</v>
      </c>
      <c r="U6" s="337">
        <v>21.4998</v>
      </c>
      <c r="V6" s="88"/>
    </row>
    <row r="7" spans="1:22" s="170" customFormat="1" ht="11.45" customHeight="1">
      <c r="A7" s="1034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05"/>
    </row>
    <row r="8" spans="1:22" ht="11.45" customHeight="1">
      <c r="A8" s="325">
        <v>2005</v>
      </c>
      <c r="B8" s="337">
        <v>444.84300000000002</v>
      </c>
      <c r="C8" s="337">
        <v>51.022399999999998</v>
      </c>
      <c r="D8" s="337">
        <v>28.11</v>
      </c>
      <c r="E8" s="337">
        <v>49.201700000000002</v>
      </c>
      <c r="F8" s="337">
        <v>54.434199999999997</v>
      </c>
      <c r="G8" s="337">
        <v>55.168300000000002</v>
      </c>
      <c r="H8" s="337">
        <v>201.47900000000001</v>
      </c>
      <c r="I8" s="337">
        <v>219.01900000000001</v>
      </c>
      <c r="J8" s="337">
        <v>287.81099999999998</v>
      </c>
      <c r="K8" s="337">
        <v>308.45100000000002</v>
      </c>
      <c r="L8" s="337">
        <v>163.43100000000001</v>
      </c>
      <c r="M8" s="337">
        <v>129.886</v>
      </c>
      <c r="N8" s="337">
        <v>121.4</v>
      </c>
      <c r="O8" s="337">
        <v>367.68700000000001</v>
      </c>
      <c r="P8" s="337">
        <v>390.75200000000001</v>
      </c>
      <c r="Q8" s="337">
        <v>205.762</v>
      </c>
      <c r="R8" s="337">
        <v>495.74700000000001</v>
      </c>
      <c r="S8" s="337">
        <v>30.2624</v>
      </c>
      <c r="T8" s="337">
        <v>10.0702</v>
      </c>
      <c r="U8" s="337">
        <v>21.0684</v>
      </c>
      <c r="V8" s="88"/>
    </row>
    <row r="9" spans="1:22" s="170" customFormat="1" ht="11.45" customHeight="1">
      <c r="A9" s="1034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05"/>
    </row>
    <row r="10" spans="1:22" ht="11.45" customHeight="1">
      <c r="A10" s="325">
        <v>2007</v>
      </c>
      <c r="B10" s="337">
        <v>696.72</v>
      </c>
      <c r="C10" s="337">
        <v>70.428299999999993</v>
      </c>
      <c r="D10" s="337">
        <v>36.630000000000003</v>
      </c>
      <c r="E10" s="337">
        <v>68.368300000000005</v>
      </c>
      <c r="F10" s="337">
        <v>72.712500000000006</v>
      </c>
      <c r="G10" s="337">
        <v>63.283700000000003</v>
      </c>
      <c r="H10" s="337">
        <v>339.05399999999997</v>
      </c>
      <c r="I10" s="337">
        <v>309.39999999999998</v>
      </c>
      <c r="J10" s="337">
        <v>332.39299999999997</v>
      </c>
      <c r="K10" s="337">
        <v>375.70800000000003</v>
      </c>
      <c r="L10" s="337">
        <v>243.411</v>
      </c>
      <c r="M10" s="337">
        <v>226.88499999999999</v>
      </c>
      <c r="N10" s="337">
        <v>209.6</v>
      </c>
      <c r="O10" s="337">
        <v>719.12199999999996</v>
      </c>
      <c r="P10" s="337">
        <v>694.65099999999995</v>
      </c>
      <c r="Q10" s="337">
        <v>263.673</v>
      </c>
      <c r="R10" s="337">
        <v>799.74199999999996</v>
      </c>
      <c r="S10" s="337">
        <v>33.284399999999998</v>
      </c>
      <c r="T10" s="337">
        <v>9.9566400000000002</v>
      </c>
      <c r="U10" s="337">
        <v>20.763200000000001</v>
      </c>
      <c r="V10" s="88"/>
    </row>
    <row r="11" spans="1:22" s="170" customFormat="1" ht="11.45" customHeight="1">
      <c r="A11" s="1034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05"/>
    </row>
    <row r="12" spans="1:22" s="18" customFormat="1" ht="11.45" customHeight="1">
      <c r="A12" s="1031">
        <v>2009</v>
      </c>
      <c r="B12" s="336">
        <v>972.96600000000001</v>
      </c>
      <c r="C12" s="336">
        <v>76.975899999999996</v>
      </c>
      <c r="D12" s="336">
        <v>79.993899999999996</v>
      </c>
      <c r="E12" s="336">
        <v>61.754899999999999</v>
      </c>
      <c r="F12" s="336">
        <v>61.860599999999998</v>
      </c>
      <c r="G12" s="336">
        <v>62.752000000000002</v>
      </c>
      <c r="H12" s="336">
        <v>257.41699999999997</v>
      </c>
      <c r="I12" s="336">
        <v>249.57400000000001</v>
      </c>
      <c r="J12" s="336">
        <v>589.37599999999998</v>
      </c>
      <c r="K12" s="336">
        <v>582.69000000000005</v>
      </c>
      <c r="L12" s="336">
        <v>246.96899999999999</v>
      </c>
      <c r="M12" s="336">
        <v>190.11199999999999</v>
      </c>
      <c r="N12" s="336">
        <v>200.2</v>
      </c>
      <c r="O12" s="336">
        <v>644.06799999999998</v>
      </c>
      <c r="P12" s="336">
        <v>634.09199999999998</v>
      </c>
      <c r="Q12" s="336">
        <v>359.27</v>
      </c>
      <c r="R12" s="336">
        <v>787.02</v>
      </c>
      <c r="S12" s="336">
        <v>26.014600000000002</v>
      </c>
      <c r="T12" s="336">
        <v>18.150400000000001</v>
      </c>
      <c r="U12" s="336">
        <v>24.335699999999999</v>
      </c>
      <c r="V12" s="227"/>
    </row>
    <row r="13" spans="1:22" s="170" customFormat="1" ht="11.45" customHeight="1">
      <c r="A13" s="1034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56"/>
    </row>
    <row r="14" spans="1:22" s="170" customFormat="1" ht="11.45" customHeight="1">
      <c r="A14" s="325">
        <v>2011</v>
      </c>
      <c r="B14" s="315">
        <v>1569.21</v>
      </c>
      <c r="C14" s="315">
        <v>130.12299999999999</v>
      </c>
      <c r="D14" s="315">
        <v>167.79</v>
      </c>
      <c r="E14" s="315">
        <v>106.027</v>
      </c>
      <c r="F14" s="315">
        <v>110.952</v>
      </c>
      <c r="G14" s="315">
        <v>154.608</v>
      </c>
      <c r="H14" s="315">
        <v>538.26</v>
      </c>
      <c r="I14" s="315">
        <v>420.96</v>
      </c>
      <c r="J14" s="315">
        <v>551.71100000000001</v>
      </c>
      <c r="K14" s="315">
        <v>593.49199999999996</v>
      </c>
      <c r="L14" s="315">
        <v>317.43599999999998</v>
      </c>
      <c r="M14" s="315">
        <v>279.98899999999998</v>
      </c>
      <c r="N14" s="315">
        <v>304.8</v>
      </c>
      <c r="O14" s="315">
        <v>1076.5</v>
      </c>
      <c r="P14" s="315">
        <v>1068.3699999999999</v>
      </c>
      <c r="Q14" s="315">
        <v>378.86099999999999</v>
      </c>
      <c r="R14" s="315">
        <v>1215.82</v>
      </c>
      <c r="S14" s="315">
        <v>26.665199999999999</v>
      </c>
      <c r="T14" s="315">
        <v>26.235600000000002</v>
      </c>
      <c r="U14" s="315">
        <v>37.572499999999998</v>
      </c>
      <c r="V14" s="256"/>
    </row>
    <row r="15" spans="1:22" s="170" customFormat="1" ht="11.45" customHeight="1">
      <c r="A15" s="1034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56"/>
    </row>
    <row r="16" spans="1:22" s="168" customFormat="1" ht="11.45" customHeight="1">
      <c r="A16" s="325">
        <v>2013</v>
      </c>
      <c r="B16" s="315">
        <v>1411.46</v>
      </c>
      <c r="C16" s="315">
        <v>90.6023</v>
      </c>
      <c r="D16" s="315">
        <v>135.36099999999999</v>
      </c>
      <c r="E16" s="315">
        <v>105.43</v>
      </c>
      <c r="F16" s="315">
        <v>108.84399999999999</v>
      </c>
      <c r="G16" s="315">
        <v>90.400599999999997</v>
      </c>
      <c r="H16" s="315">
        <v>382.06299999999999</v>
      </c>
      <c r="I16" s="315">
        <v>340.12299999999999</v>
      </c>
      <c r="J16" s="315">
        <v>518.81200000000001</v>
      </c>
      <c r="K16" s="315">
        <v>658.726</v>
      </c>
      <c r="L16" s="315">
        <v>326.16699999999997</v>
      </c>
      <c r="M16" s="315">
        <v>265.75099999999998</v>
      </c>
      <c r="N16" s="315">
        <v>314</v>
      </c>
      <c r="O16" s="315">
        <v>764.197</v>
      </c>
      <c r="P16" s="315">
        <v>743.37900000000002</v>
      </c>
      <c r="Q16" s="315">
        <v>477.29899999999998</v>
      </c>
      <c r="R16" s="315">
        <v>1011.11</v>
      </c>
      <c r="S16" s="315">
        <v>26.011800000000001</v>
      </c>
      <c r="T16" s="315">
        <v>17.708500000000001</v>
      </c>
      <c r="U16" s="315">
        <v>21.214500000000001</v>
      </c>
      <c r="V16" s="256"/>
    </row>
    <row r="17" spans="1:24" s="196" customFormat="1" ht="11.45" customHeight="1">
      <c r="A17" s="1035">
        <v>2014</v>
      </c>
      <c r="B17" s="149">
        <v>1265.58</v>
      </c>
      <c r="C17" s="149">
        <v>75.139300000000006</v>
      </c>
      <c r="D17" s="149">
        <v>96.841499999999996</v>
      </c>
      <c r="E17" s="149">
        <v>96.664100000000005</v>
      </c>
      <c r="F17" s="149">
        <v>98.943299999999994</v>
      </c>
      <c r="G17" s="149">
        <v>83.096699999999998</v>
      </c>
      <c r="H17" s="149">
        <v>388.34399999999999</v>
      </c>
      <c r="I17" s="149">
        <v>316.20999999999998</v>
      </c>
      <c r="J17" s="149" t="s">
        <v>298</v>
      </c>
      <c r="K17" s="149">
        <v>490.76400000000001</v>
      </c>
      <c r="L17" s="149">
        <v>291.87299999999999</v>
      </c>
      <c r="M17" s="149">
        <v>242.49600000000001</v>
      </c>
      <c r="N17" s="149">
        <v>324.02499999999998</v>
      </c>
      <c r="O17" s="149">
        <v>739.40800000000002</v>
      </c>
      <c r="P17" s="149">
        <v>743.99199999999996</v>
      </c>
      <c r="Q17" s="149">
        <v>466.96600000000001</v>
      </c>
      <c r="R17" s="149">
        <v>812.71</v>
      </c>
      <c r="S17" s="149">
        <v>27.394400000000001</v>
      </c>
      <c r="T17" s="149">
        <v>17.1264</v>
      </c>
      <c r="U17" s="149">
        <v>24.865400000000001</v>
      </c>
      <c r="V17" s="557"/>
    </row>
    <row r="18" spans="1:24" s="168" customFormat="1" ht="11.45" customHeight="1">
      <c r="A18" s="875">
        <v>2015</v>
      </c>
      <c r="B18" s="318">
        <f>AVERAGE(B19:B30)</f>
        <v>1160.6633333333334</v>
      </c>
      <c r="C18" s="318">
        <f t="shared" ref="C18:U18" si="0">AVERAGE(C19:C30)</f>
        <v>61.618599999999994</v>
      </c>
      <c r="D18" s="318">
        <f t="shared" si="0"/>
        <v>55.209266666666657</v>
      </c>
      <c r="E18" s="318">
        <f t="shared" si="0"/>
        <v>51.232049999999994</v>
      </c>
      <c r="F18" s="318">
        <f t="shared" si="0"/>
        <v>52.399408333333348</v>
      </c>
      <c r="G18" s="318">
        <f t="shared" si="0"/>
        <v>70.417191666666668</v>
      </c>
      <c r="H18" s="318">
        <f t="shared" si="0"/>
        <v>385</v>
      </c>
      <c r="I18" s="318">
        <f t="shared" si="0"/>
        <v>272.91941666666668</v>
      </c>
      <c r="J18" s="318" t="s">
        <v>298</v>
      </c>
      <c r="K18" s="318">
        <f t="shared" si="0"/>
        <v>469.92883333333333</v>
      </c>
      <c r="L18" s="318" t="s">
        <v>298</v>
      </c>
      <c r="M18" s="318">
        <f t="shared" si="0"/>
        <v>185.60733333333334</v>
      </c>
      <c r="N18" s="318">
        <f t="shared" si="0"/>
        <v>236.21666666666667</v>
      </c>
      <c r="O18" s="318">
        <f t="shared" si="0"/>
        <v>565.09</v>
      </c>
      <c r="P18" s="318">
        <f>AVERAGE(P19:P27)</f>
        <v>593.50144444444459</v>
      </c>
      <c r="Q18" s="318">
        <f t="shared" si="0"/>
        <v>352.72174999999993</v>
      </c>
      <c r="R18" s="318">
        <f t="shared" si="0"/>
        <v>672.16466666666656</v>
      </c>
      <c r="S18" s="318">
        <f t="shared" si="0"/>
        <v>25.423941666666668</v>
      </c>
      <c r="T18" s="318">
        <f t="shared" si="0"/>
        <v>13.238658333333335</v>
      </c>
      <c r="U18" s="318">
        <f t="shared" si="0"/>
        <v>24.850825</v>
      </c>
      <c r="V18" s="256"/>
    </row>
    <row r="19" spans="1:24" s="168" customFormat="1" ht="11.45" customHeight="1">
      <c r="A19" s="1030" t="s">
        <v>580</v>
      </c>
      <c r="B19" s="268">
        <v>1250.75</v>
      </c>
      <c r="C19" s="268">
        <v>66.535700000000006</v>
      </c>
      <c r="D19" s="268">
        <v>67.386399999999995</v>
      </c>
      <c r="E19" s="268">
        <v>46.335000000000001</v>
      </c>
      <c r="F19" s="268">
        <v>48.416800000000002</v>
      </c>
      <c r="G19" s="268">
        <v>67.349999999999994</v>
      </c>
      <c r="H19" s="268">
        <v>400</v>
      </c>
      <c r="I19" s="268">
        <v>319.2</v>
      </c>
      <c r="J19" s="268" t="s">
        <v>298</v>
      </c>
      <c r="K19" s="268">
        <v>546.59199999999998</v>
      </c>
      <c r="L19" s="268" t="s">
        <v>298</v>
      </c>
      <c r="M19" s="268">
        <v>210.608</v>
      </c>
      <c r="N19" s="268">
        <v>261.8</v>
      </c>
      <c r="O19" s="268">
        <v>641.59699999999998</v>
      </c>
      <c r="P19" s="268">
        <v>617.11199999999997</v>
      </c>
      <c r="Q19" s="268">
        <v>379.041</v>
      </c>
      <c r="R19" s="268">
        <v>707.88099999999997</v>
      </c>
      <c r="S19" s="268">
        <v>25.170200000000001</v>
      </c>
      <c r="T19" s="268">
        <v>15.0625</v>
      </c>
      <c r="U19" s="268">
        <v>25.24</v>
      </c>
      <c r="V19" s="256"/>
      <c r="X19" s="256"/>
    </row>
    <row r="20" spans="1:24" s="168" customFormat="1" ht="11.45" customHeight="1">
      <c r="A20" s="1031" t="s">
        <v>581</v>
      </c>
      <c r="B20" s="310">
        <v>1227.08</v>
      </c>
      <c r="C20" s="310">
        <v>65.785700000000006</v>
      </c>
      <c r="D20" s="310">
        <v>62.69</v>
      </c>
      <c r="E20" s="310">
        <v>56.15</v>
      </c>
      <c r="F20" s="310">
        <v>57.930500000000002</v>
      </c>
      <c r="G20" s="310">
        <v>69.842500000000001</v>
      </c>
      <c r="H20" s="310">
        <v>400</v>
      </c>
      <c r="I20" s="310">
        <v>297</v>
      </c>
      <c r="J20" s="310" t="s">
        <v>298</v>
      </c>
      <c r="K20" s="310">
        <v>501.76499999999999</v>
      </c>
      <c r="L20" s="310" t="s">
        <v>298</v>
      </c>
      <c r="M20" s="310">
        <v>201.714</v>
      </c>
      <c r="N20" s="310">
        <v>253</v>
      </c>
      <c r="O20" s="310">
        <v>634.37800000000004</v>
      </c>
      <c r="P20" s="310">
        <v>628.54300000000001</v>
      </c>
      <c r="Q20" s="310">
        <v>374.25200000000001</v>
      </c>
      <c r="R20" s="310">
        <v>697.93600000000004</v>
      </c>
      <c r="S20" s="310">
        <v>25.485399999999998</v>
      </c>
      <c r="T20" s="310">
        <v>14.5121</v>
      </c>
      <c r="U20" s="310">
        <v>24.62</v>
      </c>
      <c r="V20" s="256"/>
      <c r="X20" s="256"/>
    </row>
    <row r="21" spans="1:24" s="168" customFormat="1" ht="11.45" customHeight="1">
      <c r="A21" s="1030" t="s">
        <v>573</v>
      </c>
      <c r="B21" s="268">
        <v>1178.6300000000001</v>
      </c>
      <c r="C21" s="268">
        <v>64.408900000000003</v>
      </c>
      <c r="D21" s="268">
        <v>56.940899999999999</v>
      </c>
      <c r="E21" s="268">
        <v>54.909100000000002</v>
      </c>
      <c r="F21" s="268">
        <v>55.791400000000003</v>
      </c>
      <c r="G21" s="268">
        <v>69.3523</v>
      </c>
      <c r="H21" s="268">
        <v>400</v>
      </c>
      <c r="I21" s="268">
        <v>271</v>
      </c>
      <c r="J21" s="268" t="s">
        <v>298</v>
      </c>
      <c r="K21" s="268">
        <v>503.84899999999999</v>
      </c>
      <c r="L21" s="268" t="s">
        <v>298</v>
      </c>
      <c r="M21" s="268">
        <v>202.679</v>
      </c>
      <c r="N21" s="268">
        <v>250.4</v>
      </c>
      <c r="O21" s="268">
        <v>607.65499999999997</v>
      </c>
      <c r="P21" s="268">
        <v>615.98599999999999</v>
      </c>
      <c r="Q21" s="268">
        <v>364.86</v>
      </c>
      <c r="R21" s="268">
        <v>683.43200000000002</v>
      </c>
      <c r="S21" s="268">
        <v>24.9069</v>
      </c>
      <c r="T21" s="268">
        <v>12.8409</v>
      </c>
      <c r="U21" s="268">
        <v>24.4</v>
      </c>
      <c r="V21" s="256"/>
      <c r="X21" s="256"/>
    </row>
    <row r="22" spans="1:24" s="168" customFormat="1" ht="11.45" customHeight="1">
      <c r="A22" s="1031" t="s">
        <v>582</v>
      </c>
      <c r="B22" s="310">
        <v>1198.93</v>
      </c>
      <c r="C22" s="310">
        <v>61.943899999999999</v>
      </c>
      <c r="D22" s="310">
        <v>51.15</v>
      </c>
      <c r="E22" s="310">
        <v>58.665500000000002</v>
      </c>
      <c r="F22" s="310">
        <v>59.389499999999998</v>
      </c>
      <c r="G22" s="310">
        <v>71.702500000000001</v>
      </c>
      <c r="H22" s="310">
        <v>380</v>
      </c>
      <c r="I22" s="310">
        <v>259</v>
      </c>
      <c r="J22" s="310" t="s">
        <v>298</v>
      </c>
      <c r="K22" s="310">
        <v>504.22399999999999</v>
      </c>
      <c r="L22" s="310" t="s">
        <v>298</v>
      </c>
      <c r="M22" s="310">
        <v>195.89599999999999</v>
      </c>
      <c r="N22" s="310">
        <v>234.3</v>
      </c>
      <c r="O22" s="310">
        <v>591.78800000000001</v>
      </c>
      <c r="P22" s="310">
        <v>604.04200000000003</v>
      </c>
      <c r="Q22" s="310">
        <v>349.71100000000001</v>
      </c>
      <c r="R22" s="310">
        <v>691.673</v>
      </c>
      <c r="S22" s="310">
        <v>24.853300000000001</v>
      </c>
      <c r="T22" s="310">
        <v>12.911</v>
      </c>
      <c r="U22" s="310">
        <v>24.39</v>
      </c>
      <c r="V22" s="256"/>
      <c r="X22" s="256"/>
    </row>
    <row r="23" spans="1:24" s="168" customFormat="1" ht="11.45" customHeight="1">
      <c r="A23" s="1030" t="s">
        <v>583</v>
      </c>
      <c r="B23" s="268">
        <v>1198.6300000000001</v>
      </c>
      <c r="C23" s="268">
        <v>64.711500000000001</v>
      </c>
      <c r="D23" s="268">
        <v>60.2333</v>
      </c>
      <c r="E23" s="268">
        <v>63.674799999999998</v>
      </c>
      <c r="F23" s="268">
        <v>64.561400000000006</v>
      </c>
      <c r="G23" s="268">
        <v>72.863200000000006</v>
      </c>
      <c r="H23" s="268">
        <v>380</v>
      </c>
      <c r="I23" s="268">
        <v>280</v>
      </c>
      <c r="J23" s="268" t="s">
        <v>298</v>
      </c>
      <c r="K23" s="268">
        <v>444.74299999999999</v>
      </c>
      <c r="L23" s="268" t="s">
        <v>298</v>
      </c>
      <c r="M23" s="268">
        <v>193.15199999999999</v>
      </c>
      <c r="N23" s="268">
        <v>234.5</v>
      </c>
      <c r="O23" s="268">
        <v>601.39700000000005</v>
      </c>
      <c r="P23" s="268">
        <v>595.471</v>
      </c>
      <c r="Q23" s="268">
        <v>340.471</v>
      </c>
      <c r="R23" s="268">
        <v>716.49</v>
      </c>
      <c r="S23" s="268">
        <v>25.732500000000002</v>
      </c>
      <c r="T23" s="268">
        <v>12.7035</v>
      </c>
      <c r="U23" s="268">
        <v>24.72</v>
      </c>
      <c r="V23" s="256"/>
      <c r="X23" s="256"/>
    </row>
    <row r="24" spans="1:24" s="168" customFormat="1" ht="11.45" customHeight="1">
      <c r="A24" s="1031" t="s">
        <v>574</v>
      </c>
      <c r="B24" s="310">
        <v>1181.5</v>
      </c>
      <c r="C24" s="310">
        <v>63.043799999999997</v>
      </c>
      <c r="D24" s="310">
        <v>62.2864</v>
      </c>
      <c r="E24" s="310">
        <v>61.758600000000001</v>
      </c>
      <c r="F24" s="310">
        <v>62.3459</v>
      </c>
      <c r="G24" s="310">
        <v>72.3523</v>
      </c>
      <c r="H24" s="310">
        <v>380</v>
      </c>
      <c r="I24" s="310">
        <v>292</v>
      </c>
      <c r="J24" s="310" t="s">
        <v>298</v>
      </c>
      <c r="K24" s="310">
        <v>466.17599999999999</v>
      </c>
      <c r="L24" s="310" t="s">
        <v>298</v>
      </c>
      <c r="M24" s="310">
        <v>199.82300000000001</v>
      </c>
      <c r="N24" s="310">
        <v>233.4</v>
      </c>
      <c r="O24" s="310">
        <v>606.404</v>
      </c>
      <c r="P24" s="310">
        <v>593.16099999999994</v>
      </c>
      <c r="Q24" s="310">
        <v>353.90199999999999</v>
      </c>
      <c r="R24" s="310">
        <v>738.03700000000003</v>
      </c>
      <c r="S24" s="310">
        <v>25.865200000000002</v>
      </c>
      <c r="T24" s="310">
        <v>12.1136</v>
      </c>
      <c r="U24" s="310">
        <v>24.76</v>
      </c>
      <c r="V24" s="256"/>
      <c r="X24" s="256"/>
    </row>
    <row r="25" spans="1:24" s="168" customFormat="1" ht="11.45" customHeight="1">
      <c r="A25" s="1030" t="s">
        <v>576</v>
      </c>
      <c r="B25" s="268">
        <v>1128.31</v>
      </c>
      <c r="C25" s="268">
        <v>63.353999999999999</v>
      </c>
      <c r="D25" s="268">
        <v>51.504300000000001</v>
      </c>
      <c r="E25" s="268">
        <v>56.266100000000002</v>
      </c>
      <c r="F25" s="268">
        <v>55.865699999999997</v>
      </c>
      <c r="G25" s="268">
        <v>72.347800000000007</v>
      </c>
      <c r="H25" s="268">
        <v>380</v>
      </c>
      <c r="I25" s="268">
        <v>273</v>
      </c>
      <c r="J25" s="268" t="s">
        <v>298</v>
      </c>
      <c r="K25" s="268">
        <v>460.57799999999997</v>
      </c>
      <c r="L25" s="268" t="s">
        <v>298</v>
      </c>
      <c r="M25" s="268">
        <v>199.197</v>
      </c>
      <c r="N25" s="268">
        <v>225.6</v>
      </c>
      <c r="O25" s="268">
        <v>575.68200000000002</v>
      </c>
      <c r="P25" s="268">
        <v>587.58799999999997</v>
      </c>
      <c r="Q25" s="268">
        <v>394.642</v>
      </c>
      <c r="R25" s="268">
        <v>695.78800000000001</v>
      </c>
      <c r="S25" s="268">
        <v>25.8688</v>
      </c>
      <c r="T25" s="268">
        <v>11.8786</v>
      </c>
      <c r="U25" s="268">
        <v>24.67</v>
      </c>
      <c r="V25" s="256"/>
      <c r="X25" s="256"/>
    </row>
    <row r="26" spans="1:24" s="168" customFormat="1" ht="11.45" customHeight="1">
      <c r="A26" s="1031" t="s">
        <v>577</v>
      </c>
      <c r="B26" s="310">
        <v>1117.93</v>
      </c>
      <c r="C26" s="310">
        <v>62.7562</v>
      </c>
      <c r="D26" s="310">
        <v>55.381</v>
      </c>
      <c r="E26" s="310">
        <v>47.3033</v>
      </c>
      <c r="F26" s="310">
        <v>46.994300000000003</v>
      </c>
      <c r="G26" s="310">
        <v>71.822500000000005</v>
      </c>
      <c r="H26" s="310">
        <v>380</v>
      </c>
      <c r="I26" s="310">
        <v>273</v>
      </c>
      <c r="J26" s="310" t="s">
        <v>298</v>
      </c>
      <c r="K26" s="310">
        <v>451.36</v>
      </c>
      <c r="L26" s="310" t="s">
        <v>298</v>
      </c>
      <c r="M26" s="310">
        <v>173.46899999999999</v>
      </c>
      <c r="N26" s="310">
        <v>230.2</v>
      </c>
      <c r="O26" s="310">
        <v>484.678</v>
      </c>
      <c r="P26" s="310">
        <v>538.529</v>
      </c>
      <c r="Q26" s="310">
        <v>370.40800000000002</v>
      </c>
      <c r="R26" s="310">
        <v>628.74699999999996</v>
      </c>
      <c r="S26" s="310">
        <v>25.947700000000001</v>
      </c>
      <c r="T26" s="310">
        <v>10.674799999999999</v>
      </c>
      <c r="U26" s="310">
        <v>24.5</v>
      </c>
      <c r="V26" s="256"/>
      <c r="X26" s="256"/>
    </row>
    <row r="27" spans="1:24" s="168" customFormat="1" ht="11.45" customHeight="1">
      <c r="A27" s="1030" t="s">
        <v>571</v>
      </c>
      <c r="B27" s="268">
        <v>1124.77</v>
      </c>
      <c r="C27" s="268">
        <v>58.655799999999999</v>
      </c>
      <c r="D27" s="268">
        <v>56.431800000000003</v>
      </c>
      <c r="E27" s="268">
        <v>46.144500000000001</v>
      </c>
      <c r="F27" s="268">
        <v>47.234499999999997</v>
      </c>
      <c r="G27" s="268">
        <v>68.736400000000003</v>
      </c>
      <c r="H27" s="268">
        <v>380</v>
      </c>
      <c r="I27" s="268">
        <v>259</v>
      </c>
      <c r="J27" s="268"/>
      <c r="K27" s="268">
        <v>458.15699999999998</v>
      </c>
      <c r="L27" s="268" t="s">
        <v>298</v>
      </c>
      <c r="M27" s="268">
        <v>163.827</v>
      </c>
      <c r="N27" s="268">
        <v>229.7</v>
      </c>
      <c r="O27" s="268">
        <v>483.48700000000002</v>
      </c>
      <c r="P27" s="268">
        <v>561.08100000000002</v>
      </c>
      <c r="Q27" s="268">
        <v>342.95499999999998</v>
      </c>
      <c r="R27" s="268">
        <v>590.25</v>
      </c>
      <c r="S27" s="268">
        <v>25.535799999999998</v>
      </c>
      <c r="T27" s="268">
        <v>12.1371</v>
      </c>
      <c r="U27" s="268">
        <v>24.434799999999999</v>
      </c>
      <c r="V27" s="256"/>
      <c r="X27" s="256"/>
    </row>
    <row r="28" spans="1:24" s="168" customFormat="1" ht="11.45" customHeight="1">
      <c r="A28" s="1031" t="s">
        <v>578</v>
      </c>
      <c r="B28" s="310">
        <v>1159.25</v>
      </c>
      <c r="C28" s="310">
        <v>56.0503</v>
      </c>
      <c r="D28" s="310">
        <v>52.740900000000003</v>
      </c>
      <c r="E28" s="310">
        <v>46.5518</v>
      </c>
      <c r="F28" s="310">
        <v>48.124099999999999</v>
      </c>
      <c r="G28" s="310">
        <v>69.027299999999997</v>
      </c>
      <c r="H28" s="310">
        <v>380</v>
      </c>
      <c r="I28" s="310">
        <v>255</v>
      </c>
      <c r="J28" s="310" t="s">
        <v>298</v>
      </c>
      <c r="K28" s="310">
        <v>405.63600000000002</v>
      </c>
      <c r="L28" s="310" t="s">
        <v>298</v>
      </c>
      <c r="M28" s="310">
        <v>165.38800000000001</v>
      </c>
      <c r="N28" s="310">
        <v>226</v>
      </c>
      <c r="O28" s="310">
        <v>530.24699999999996</v>
      </c>
      <c r="P28" s="310" t="s">
        <v>298</v>
      </c>
      <c r="Q28" s="310">
        <v>338.214</v>
      </c>
      <c r="R28" s="310">
        <v>623.80700000000002</v>
      </c>
      <c r="S28" s="310">
        <v>25.5</v>
      </c>
      <c r="T28" s="310">
        <v>14.1418</v>
      </c>
      <c r="U28" s="310">
        <v>25.0382</v>
      </c>
      <c r="V28" s="256"/>
      <c r="X28" s="256"/>
    </row>
    <row r="29" spans="1:24" s="168" customFormat="1" ht="11.45" customHeight="1">
      <c r="A29" s="1030" t="s">
        <v>579</v>
      </c>
      <c r="B29" s="268">
        <v>1086.44</v>
      </c>
      <c r="C29" s="268">
        <v>56.326500000000003</v>
      </c>
      <c r="D29" s="268">
        <v>46.161900000000003</v>
      </c>
      <c r="E29" s="268">
        <v>42.323300000000003</v>
      </c>
      <c r="F29" s="268">
        <v>44.417099999999998</v>
      </c>
      <c r="G29" s="268">
        <v>69.221400000000003</v>
      </c>
      <c r="H29" s="268">
        <v>380</v>
      </c>
      <c r="I29" s="268">
        <v>257</v>
      </c>
      <c r="J29" s="268" t="s">
        <v>298</v>
      </c>
      <c r="K29" s="268">
        <v>460.50099999999998</v>
      </c>
      <c r="L29" s="268" t="s">
        <v>298</v>
      </c>
      <c r="M29" s="268">
        <v>157.74199999999999</v>
      </c>
      <c r="N29" s="268">
        <v>229.7</v>
      </c>
      <c r="O29" s="268">
        <v>503.16399999999999</v>
      </c>
      <c r="P29" s="268" t="s">
        <v>298</v>
      </c>
      <c r="Q29" s="268">
        <v>320.34300000000002</v>
      </c>
      <c r="R29" s="268">
        <v>614.73599999999999</v>
      </c>
      <c r="S29" s="268">
        <v>25.2958</v>
      </c>
      <c r="T29" s="268">
        <v>14.888</v>
      </c>
      <c r="U29" s="268">
        <v>25.606000000000002</v>
      </c>
      <c r="V29" s="256"/>
      <c r="X29" s="256"/>
    </row>
    <row r="30" spans="1:24" s="168" customFormat="1" ht="11.45" customHeight="1">
      <c r="A30" s="1031" t="s">
        <v>572</v>
      </c>
      <c r="B30" s="310">
        <v>1075.74</v>
      </c>
      <c r="C30" s="310">
        <v>55.850900000000003</v>
      </c>
      <c r="D30" s="310">
        <v>39.604300000000002</v>
      </c>
      <c r="E30" s="310">
        <v>34.702599999999997</v>
      </c>
      <c r="F30" s="310">
        <v>37.721699999999998</v>
      </c>
      <c r="G30" s="310">
        <v>70.388099999999994</v>
      </c>
      <c r="H30" s="310">
        <v>380</v>
      </c>
      <c r="I30" s="310">
        <v>239.833</v>
      </c>
      <c r="J30" s="310" t="s">
        <v>298</v>
      </c>
      <c r="K30" s="310">
        <v>435.565</v>
      </c>
      <c r="L30" s="310" t="s">
        <v>298</v>
      </c>
      <c r="M30" s="310">
        <v>163.79300000000001</v>
      </c>
      <c r="N30" s="310">
        <v>226</v>
      </c>
      <c r="O30" s="310">
        <v>520.60299999999995</v>
      </c>
      <c r="P30" s="310" t="s">
        <v>298</v>
      </c>
      <c r="Q30" s="310">
        <v>303.86200000000002</v>
      </c>
      <c r="R30" s="310">
        <v>677.19899999999996</v>
      </c>
      <c r="S30" s="310">
        <v>24.925699999999999</v>
      </c>
      <c r="T30" s="310">
        <v>15</v>
      </c>
      <c r="U30" s="310">
        <v>25.8309</v>
      </c>
      <c r="V30" s="256"/>
      <c r="X30" s="256"/>
    </row>
    <row r="31" spans="1:24" s="168" customFormat="1" ht="11.45" customHeight="1">
      <c r="A31" s="458">
        <v>2016</v>
      </c>
      <c r="B31" s="149">
        <f>AVERAGE(B32:B43)</f>
        <v>1249.0091666666669</v>
      </c>
      <c r="C31" s="149">
        <f t="shared" ref="C31:U31" si="1">AVERAGE(C32:C43)</f>
        <v>70.595974999999996</v>
      </c>
      <c r="D31" s="149">
        <f t="shared" si="1"/>
        <v>57.927608333333332</v>
      </c>
      <c r="E31" s="149">
        <f t="shared" si="1"/>
        <v>41.239341666666668</v>
      </c>
      <c r="F31" s="149">
        <f t="shared" si="1"/>
        <v>44.043283333333328</v>
      </c>
      <c r="G31" s="149">
        <f t="shared" si="1"/>
        <v>74.221424999999996</v>
      </c>
      <c r="H31" s="149">
        <f t="shared" si="1"/>
        <v>290.5</v>
      </c>
      <c r="I31" s="149">
        <f t="shared" si="1"/>
        <v>199.25</v>
      </c>
      <c r="J31" s="149" t="s">
        <v>298</v>
      </c>
      <c r="K31" s="149">
        <f t="shared" si="1"/>
        <v>447.19941666666676</v>
      </c>
      <c r="L31" s="149" t="s">
        <v>298</v>
      </c>
      <c r="M31" s="149">
        <f t="shared" si="1"/>
        <v>143.15049999999999</v>
      </c>
      <c r="N31" s="149" t="s">
        <v>298</v>
      </c>
      <c r="O31" s="149">
        <f t="shared" si="1"/>
        <v>639.91374999999994</v>
      </c>
      <c r="P31" s="149">
        <f t="shared" si="1"/>
        <v>678.02857142857158</v>
      </c>
      <c r="Q31" s="149">
        <f t="shared" si="1"/>
        <v>350.16058333333331</v>
      </c>
      <c r="R31" s="149">
        <f t="shared" si="1"/>
        <v>721.16600000000005</v>
      </c>
      <c r="S31" s="149">
        <f t="shared" si="1"/>
        <v>22.537283333333335</v>
      </c>
      <c r="T31" s="149">
        <f t="shared" si="1"/>
        <v>18.252850000000002</v>
      </c>
      <c r="U31" s="149">
        <f t="shared" si="1"/>
        <v>27.479150000000004</v>
      </c>
      <c r="V31" s="256"/>
    </row>
    <row r="32" spans="1:24" s="168" customFormat="1" ht="11.45" customHeight="1">
      <c r="A32" s="1031" t="s">
        <v>580</v>
      </c>
      <c r="B32" s="310">
        <v>1097.9100000000001</v>
      </c>
      <c r="C32" s="310">
        <v>53.373899999999999</v>
      </c>
      <c r="D32" s="310">
        <v>41.252400000000002</v>
      </c>
      <c r="E32" s="310">
        <v>27.246700000000001</v>
      </c>
      <c r="F32" s="310">
        <v>30.8033</v>
      </c>
      <c r="G32" s="310">
        <v>68.75</v>
      </c>
      <c r="H32" s="310">
        <v>380</v>
      </c>
      <c r="I32" s="310">
        <v>214</v>
      </c>
      <c r="J32" s="310" t="s">
        <v>298</v>
      </c>
      <c r="K32" s="310">
        <v>419.29700000000003</v>
      </c>
      <c r="L32" s="310" t="s">
        <v>298</v>
      </c>
      <c r="M32" s="310">
        <v>164.55799999999999</v>
      </c>
      <c r="N32" s="310" t="s">
        <v>298</v>
      </c>
      <c r="O32" s="310">
        <v>531.61900000000003</v>
      </c>
      <c r="P32" s="310" t="s">
        <v>298</v>
      </c>
      <c r="Q32" s="310">
        <v>297.17700000000002</v>
      </c>
      <c r="R32" s="310">
        <v>659.90099999999995</v>
      </c>
      <c r="S32" s="310">
        <v>23.9497</v>
      </c>
      <c r="T32" s="310">
        <v>14.2911</v>
      </c>
      <c r="U32" s="310">
        <v>25.831600000000002</v>
      </c>
      <c r="V32" s="256"/>
      <c r="X32" s="256"/>
    </row>
    <row r="33" spans="1:24" s="168" customFormat="1" ht="12" customHeight="1">
      <c r="A33" s="1030" t="s">
        <v>581</v>
      </c>
      <c r="B33" s="268">
        <v>1199.5</v>
      </c>
      <c r="C33" s="268">
        <v>54.329500000000003</v>
      </c>
      <c r="D33" s="268">
        <v>46.176200000000001</v>
      </c>
      <c r="E33" s="268">
        <v>29.614799999999999</v>
      </c>
      <c r="F33" s="268">
        <v>33.198099999999997</v>
      </c>
      <c r="G33" s="268">
        <v>66.571399999999997</v>
      </c>
      <c r="H33" s="268">
        <v>329</v>
      </c>
      <c r="I33" s="268">
        <v>209</v>
      </c>
      <c r="J33" s="268" t="s">
        <v>298</v>
      </c>
      <c r="K33" s="268">
        <v>448.315</v>
      </c>
      <c r="L33" s="268" t="s">
        <v>298</v>
      </c>
      <c r="M33" s="268">
        <v>159.25200000000001</v>
      </c>
      <c r="N33" s="268" t="s">
        <v>298</v>
      </c>
      <c r="O33" s="268">
        <v>595.90099999999995</v>
      </c>
      <c r="P33" s="268" t="s">
        <v>298</v>
      </c>
      <c r="Q33" s="268">
        <v>291.36799999999999</v>
      </c>
      <c r="R33" s="268">
        <v>686.904</v>
      </c>
      <c r="S33" s="268">
        <v>23.770800000000001</v>
      </c>
      <c r="T33" s="268">
        <v>13.2905</v>
      </c>
      <c r="U33" s="268">
        <v>25.4985</v>
      </c>
      <c r="V33" s="256"/>
      <c r="X33" s="256"/>
    </row>
    <row r="34" spans="1:24" s="168" customFormat="1" ht="11.45" customHeight="1">
      <c r="A34" s="1031" t="s">
        <v>573</v>
      </c>
      <c r="B34" s="310">
        <v>1245.1400000000001</v>
      </c>
      <c r="C34" s="310">
        <v>55.917900000000003</v>
      </c>
      <c r="D34" s="310">
        <v>55.521700000000003</v>
      </c>
      <c r="E34" s="310">
        <v>35.173000000000002</v>
      </c>
      <c r="F34" s="310">
        <v>39.070900000000002</v>
      </c>
      <c r="G34" s="310">
        <v>65.457099999999997</v>
      </c>
      <c r="H34" s="310">
        <v>275</v>
      </c>
      <c r="I34" s="310">
        <v>203</v>
      </c>
      <c r="J34" s="310" t="s">
        <v>298</v>
      </c>
      <c r="K34" s="310">
        <v>434.28100000000001</v>
      </c>
      <c r="L34" s="310" t="s">
        <v>298</v>
      </c>
      <c r="M34" s="310">
        <v>164.03100000000001</v>
      </c>
      <c r="N34" s="310" t="s">
        <v>298</v>
      </c>
      <c r="O34" s="310">
        <v>633.06799999999998</v>
      </c>
      <c r="P34" s="310" t="s">
        <v>298</v>
      </c>
      <c r="Q34" s="310">
        <v>296.18099999999998</v>
      </c>
      <c r="R34" s="310">
        <v>713.85599999999999</v>
      </c>
      <c r="S34" s="310">
        <v>23.656700000000001</v>
      </c>
      <c r="T34" s="310">
        <v>15.435</v>
      </c>
      <c r="U34" s="310">
        <v>26.316800000000001</v>
      </c>
      <c r="V34" s="256"/>
      <c r="X34" s="256"/>
    </row>
    <row r="35" spans="1:24" s="168" customFormat="1" ht="11.45" customHeight="1">
      <c r="A35" s="1030" t="s">
        <v>582</v>
      </c>
      <c r="B35" s="268">
        <v>1242.26</v>
      </c>
      <c r="C35" s="268">
        <v>54.830399999999997</v>
      </c>
      <c r="D35" s="268">
        <v>59.581000000000003</v>
      </c>
      <c r="E35" s="268">
        <v>39.037599999999998</v>
      </c>
      <c r="F35" s="268">
        <v>42.247100000000003</v>
      </c>
      <c r="G35" s="268">
        <v>69.278599999999997</v>
      </c>
      <c r="H35" s="268">
        <v>278</v>
      </c>
      <c r="I35" s="268">
        <v>204</v>
      </c>
      <c r="J35" s="268" t="s">
        <v>298</v>
      </c>
      <c r="K35" s="268">
        <v>441.2</v>
      </c>
      <c r="L35" s="268" t="s">
        <v>298</v>
      </c>
      <c r="M35" s="268">
        <v>163.36500000000001</v>
      </c>
      <c r="N35" s="268" t="s">
        <v>298</v>
      </c>
      <c r="O35" s="268">
        <v>681.077</v>
      </c>
      <c r="P35" s="268">
        <v>669.2</v>
      </c>
      <c r="Q35" s="268">
        <v>327.70100000000002</v>
      </c>
      <c r="R35" s="268">
        <v>748.53099999999995</v>
      </c>
      <c r="S35" s="268">
        <v>23.670200000000001</v>
      </c>
      <c r="T35" s="268">
        <v>15.217599999999999</v>
      </c>
      <c r="U35" s="268">
        <v>27.902899999999999</v>
      </c>
      <c r="V35" s="256"/>
      <c r="X35" s="256"/>
    </row>
    <row r="36" spans="1:24" s="168" customFormat="1" ht="11.45" customHeight="1">
      <c r="A36" s="1031" t="s">
        <v>583</v>
      </c>
      <c r="B36" s="310">
        <v>1261</v>
      </c>
      <c r="C36" s="310">
        <v>55.2</v>
      </c>
      <c r="D36" s="310">
        <v>54.9</v>
      </c>
      <c r="E36" s="310">
        <v>44</v>
      </c>
      <c r="F36" s="310">
        <v>47.1</v>
      </c>
      <c r="G36" s="310">
        <v>70.3</v>
      </c>
      <c r="H36" s="310">
        <v>284</v>
      </c>
      <c r="I36" s="310">
        <v>200</v>
      </c>
      <c r="J36" s="310" t="s">
        <v>298</v>
      </c>
      <c r="K36" s="310">
        <v>448</v>
      </c>
      <c r="L36" s="310" t="s">
        <v>298</v>
      </c>
      <c r="M36" s="310">
        <v>157.5</v>
      </c>
      <c r="N36" s="310" t="s">
        <v>298</v>
      </c>
      <c r="O36" s="310">
        <v>644.6</v>
      </c>
      <c r="P36" s="310" t="s">
        <v>298</v>
      </c>
      <c r="Q36" s="310">
        <v>407.5</v>
      </c>
      <c r="R36" s="310">
        <v>707</v>
      </c>
      <c r="S36" s="310">
        <v>24.2</v>
      </c>
      <c r="T36" s="310">
        <v>16.7</v>
      </c>
      <c r="U36" s="310">
        <v>27.3</v>
      </c>
      <c r="V36" s="256"/>
    </row>
    <row r="37" spans="1:24" s="168" customFormat="1" ht="11.45" customHeight="1">
      <c r="A37" s="1030" t="s">
        <v>574</v>
      </c>
      <c r="B37" s="268">
        <v>1276.4000000000001</v>
      </c>
      <c r="C37" s="268">
        <v>57</v>
      </c>
      <c r="D37" s="268">
        <v>51.4</v>
      </c>
      <c r="E37" s="268">
        <v>45.8</v>
      </c>
      <c r="F37" s="268">
        <v>48.5</v>
      </c>
      <c r="G37" s="268">
        <v>74.099999999999994</v>
      </c>
      <c r="H37" s="268">
        <v>285</v>
      </c>
      <c r="I37" s="268">
        <v>191</v>
      </c>
      <c r="J37" s="268" t="s">
        <v>298</v>
      </c>
      <c r="K37" s="268">
        <v>455.1</v>
      </c>
      <c r="L37" s="268" t="s">
        <v>298</v>
      </c>
      <c r="M37" s="268">
        <v>156.6</v>
      </c>
      <c r="N37" s="268" t="s">
        <v>298</v>
      </c>
      <c r="O37" s="268">
        <v>618.5</v>
      </c>
      <c r="P37" s="268" t="s">
        <v>298</v>
      </c>
      <c r="Q37" s="268">
        <v>443.4</v>
      </c>
      <c r="R37" s="268">
        <v>703.6</v>
      </c>
      <c r="S37" s="268">
        <v>23.6</v>
      </c>
      <c r="T37" s="268">
        <v>19.399999999999999</v>
      </c>
      <c r="U37" s="268">
        <v>27.4</v>
      </c>
      <c r="V37" s="256"/>
    </row>
    <row r="38" spans="1:24" s="168" customFormat="1" ht="11.45" customHeight="1">
      <c r="A38" s="1031" t="s">
        <v>576</v>
      </c>
      <c r="B38" s="310">
        <v>1336.7</v>
      </c>
      <c r="C38" s="310">
        <v>66.7</v>
      </c>
      <c r="D38" s="310">
        <v>56.6</v>
      </c>
      <c r="E38" s="310">
        <v>42.7</v>
      </c>
      <c r="F38" s="310">
        <v>45.1</v>
      </c>
      <c r="G38" s="310">
        <v>81.099999999999994</v>
      </c>
      <c r="H38" s="310">
        <v>285</v>
      </c>
      <c r="I38" s="310">
        <v>177</v>
      </c>
      <c r="J38" s="310" t="s">
        <v>298</v>
      </c>
      <c r="K38" s="310">
        <v>506.3</v>
      </c>
      <c r="L38" s="310" t="s">
        <v>298</v>
      </c>
      <c r="M38" s="310">
        <v>133.6</v>
      </c>
      <c r="N38" s="310" t="s">
        <v>298</v>
      </c>
      <c r="O38" s="310">
        <v>584.20000000000005</v>
      </c>
      <c r="P38" s="310">
        <v>660.5</v>
      </c>
      <c r="Q38" s="310">
        <v>403.3</v>
      </c>
      <c r="R38" s="310">
        <v>669.9</v>
      </c>
      <c r="S38" s="310">
        <v>21.9</v>
      </c>
      <c r="T38" s="310">
        <v>19.7</v>
      </c>
      <c r="U38" s="310">
        <v>28.1</v>
      </c>
      <c r="V38" s="256"/>
    </row>
    <row r="39" spans="1:24" s="168" customFormat="1" ht="11.45" customHeight="1">
      <c r="A39" s="1030" t="s">
        <v>577</v>
      </c>
      <c r="B39" s="268">
        <v>1340.2</v>
      </c>
      <c r="C39" s="268">
        <v>72.2</v>
      </c>
      <c r="D39" s="268">
        <v>60.5</v>
      </c>
      <c r="E39" s="268">
        <v>43.6</v>
      </c>
      <c r="F39" s="268">
        <v>46.1</v>
      </c>
      <c r="G39" s="268">
        <v>80.3</v>
      </c>
      <c r="H39" s="268">
        <v>283</v>
      </c>
      <c r="I39" s="268">
        <v>182</v>
      </c>
      <c r="J39" s="268" t="s">
        <v>298</v>
      </c>
      <c r="K39" s="268">
        <v>481.7</v>
      </c>
      <c r="L39" s="268" t="s">
        <v>298</v>
      </c>
      <c r="M39" s="268">
        <v>127.9</v>
      </c>
      <c r="N39" s="268" t="s">
        <v>298</v>
      </c>
      <c r="O39" s="268">
        <v>664.4</v>
      </c>
      <c r="P39" s="268">
        <v>644.20000000000005</v>
      </c>
      <c r="Q39" s="268">
        <v>364.5</v>
      </c>
      <c r="R39" s="268">
        <v>711.7</v>
      </c>
      <c r="S39" s="268">
        <v>21.8</v>
      </c>
      <c r="T39" s="268">
        <v>20.5</v>
      </c>
      <c r="U39" s="268">
        <v>27.2</v>
      </c>
      <c r="V39" s="256"/>
    </row>
    <row r="40" spans="1:24" s="168" customFormat="1" ht="11.45" customHeight="1">
      <c r="A40" s="1031" t="s">
        <v>571</v>
      </c>
      <c r="B40" s="310">
        <v>1326.6</v>
      </c>
      <c r="C40" s="310">
        <v>78.099999999999994</v>
      </c>
      <c r="D40" s="310">
        <v>56.7</v>
      </c>
      <c r="E40" s="310">
        <v>43.8</v>
      </c>
      <c r="F40" s="310">
        <v>46.2</v>
      </c>
      <c r="G40" s="310">
        <v>77.900000000000006</v>
      </c>
      <c r="H40" s="310">
        <v>277</v>
      </c>
      <c r="I40" s="310">
        <v>191</v>
      </c>
      <c r="J40" s="310" t="s">
        <v>298</v>
      </c>
      <c r="K40" s="310">
        <v>446.9</v>
      </c>
      <c r="L40" s="310" t="s">
        <v>298</v>
      </c>
      <c r="M40" s="310">
        <v>123.2</v>
      </c>
      <c r="N40" s="310" t="s">
        <v>298</v>
      </c>
      <c r="O40" s="310">
        <v>692.4</v>
      </c>
      <c r="P40" s="310">
        <v>669.5</v>
      </c>
      <c r="Q40" s="310">
        <v>342.2</v>
      </c>
      <c r="R40" s="310">
        <v>722.6</v>
      </c>
      <c r="S40" s="310">
        <v>21.9</v>
      </c>
      <c r="T40" s="310">
        <v>21.9</v>
      </c>
      <c r="U40" s="310">
        <v>27.5</v>
      </c>
      <c r="V40" s="256"/>
    </row>
    <row r="41" spans="1:24" s="168" customFormat="1" ht="11.45" customHeight="1">
      <c r="A41" s="1030" t="s">
        <v>578</v>
      </c>
      <c r="B41" s="268">
        <v>1266.5999999999999</v>
      </c>
      <c r="C41" s="268">
        <v>99.8</v>
      </c>
      <c r="D41" s="268">
        <v>59</v>
      </c>
      <c r="E41" s="268">
        <v>48.3</v>
      </c>
      <c r="F41" s="268">
        <v>49.7</v>
      </c>
      <c r="G41" s="268">
        <v>78.5</v>
      </c>
      <c r="H41" s="268">
        <v>273</v>
      </c>
      <c r="I41" s="268">
        <v>193</v>
      </c>
      <c r="J41" s="268" t="s">
        <v>298</v>
      </c>
      <c r="K41" s="268">
        <v>429.1</v>
      </c>
      <c r="L41" s="268" t="s">
        <v>298</v>
      </c>
      <c r="M41" s="268">
        <v>122.5</v>
      </c>
      <c r="N41" s="268" t="s">
        <v>298</v>
      </c>
      <c r="O41" s="268">
        <v>651.4</v>
      </c>
      <c r="P41" s="268">
        <v>705.9</v>
      </c>
      <c r="Q41" s="268">
        <v>337.1</v>
      </c>
      <c r="R41" s="268">
        <v>757.3</v>
      </c>
      <c r="S41" s="268">
        <v>20.5</v>
      </c>
      <c r="T41" s="268">
        <v>22.9</v>
      </c>
      <c r="U41" s="268">
        <v>28.6</v>
      </c>
      <c r="V41" s="256"/>
    </row>
    <row r="42" spans="1:24" s="168" customFormat="1" ht="10.5" customHeight="1">
      <c r="A42" s="1031" t="s">
        <v>579</v>
      </c>
      <c r="B42" s="310">
        <v>1238.4000000000001</v>
      </c>
      <c r="C42" s="310">
        <v>107.2</v>
      </c>
      <c r="D42" s="310">
        <v>74.099999999999994</v>
      </c>
      <c r="E42" s="310">
        <v>43.8</v>
      </c>
      <c r="F42" s="310">
        <v>46.4</v>
      </c>
      <c r="G42" s="310">
        <v>78.900000000000006</v>
      </c>
      <c r="H42" s="310">
        <v>270</v>
      </c>
      <c r="I42" s="310">
        <v>211</v>
      </c>
      <c r="J42" s="310" t="s">
        <v>298</v>
      </c>
      <c r="K42" s="310">
        <v>440.6</v>
      </c>
      <c r="L42" s="310" t="s">
        <v>298</v>
      </c>
      <c r="M42" s="310">
        <v>122.5</v>
      </c>
      <c r="N42" s="310" t="s">
        <v>298</v>
      </c>
      <c r="O42" s="310">
        <v>670</v>
      </c>
      <c r="P42" s="310">
        <v>685.3</v>
      </c>
      <c r="Q42" s="310">
        <v>345.7</v>
      </c>
      <c r="R42" s="310">
        <v>772.4</v>
      </c>
      <c r="S42" s="310">
        <v>20.7</v>
      </c>
      <c r="T42" s="310">
        <v>20.9</v>
      </c>
      <c r="U42" s="310">
        <v>28.8</v>
      </c>
      <c r="V42" s="256"/>
    </row>
    <row r="43" spans="1:24" s="168" customFormat="1" ht="10.5" customHeight="1">
      <c r="A43" s="1030" t="s">
        <v>572</v>
      </c>
      <c r="B43" s="268">
        <v>1157.4000000000001</v>
      </c>
      <c r="C43" s="268">
        <v>92.5</v>
      </c>
      <c r="D43" s="268">
        <v>79.400000000000006</v>
      </c>
      <c r="E43" s="268">
        <v>51.8</v>
      </c>
      <c r="F43" s="268">
        <v>54.1</v>
      </c>
      <c r="G43" s="268">
        <v>79.5</v>
      </c>
      <c r="H43" s="268">
        <v>267</v>
      </c>
      <c r="I43" s="268">
        <v>216</v>
      </c>
      <c r="J43" s="268" t="s">
        <v>298</v>
      </c>
      <c r="K43" s="268">
        <v>415.6</v>
      </c>
      <c r="L43" s="268" t="s">
        <v>298</v>
      </c>
      <c r="M43" s="268">
        <v>122.8</v>
      </c>
      <c r="N43" s="268" t="s">
        <v>298</v>
      </c>
      <c r="O43" s="268">
        <v>711.8</v>
      </c>
      <c r="P43" s="268">
        <v>711.6</v>
      </c>
      <c r="Q43" s="268">
        <v>345.8</v>
      </c>
      <c r="R43" s="268">
        <v>800.3</v>
      </c>
      <c r="S43" s="268">
        <v>20.8</v>
      </c>
      <c r="T43" s="268">
        <v>18.8</v>
      </c>
      <c r="U43" s="268">
        <v>29.3</v>
      </c>
      <c r="V43" s="256"/>
    </row>
    <row r="44" spans="1:24" s="168" customFormat="1" ht="10.5" customHeight="1">
      <c r="A44" s="875">
        <v>2017</v>
      </c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256"/>
    </row>
    <row r="45" spans="1:24" s="168" customFormat="1" ht="11.45" customHeight="1">
      <c r="A45" s="1030" t="s">
        <v>580</v>
      </c>
      <c r="B45" s="268">
        <v>1192.0999999999999</v>
      </c>
      <c r="C45" s="268">
        <v>89.7</v>
      </c>
      <c r="D45" s="268">
        <v>80.8</v>
      </c>
      <c r="E45" s="268">
        <v>53.4</v>
      </c>
      <c r="F45" s="268">
        <v>54.9</v>
      </c>
      <c r="G45" s="268">
        <v>82.3</v>
      </c>
      <c r="H45" s="268">
        <v>269</v>
      </c>
      <c r="I45" s="268">
        <v>241</v>
      </c>
      <c r="J45" s="268" t="s">
        <v>298</v>
      </c>
      <c r="K45" s="268">
        <v>422.5</v>
      </c>
      <c r="L45" s="268" t="s">
        <v>298</v>
      </c>
      <c r="M45" s="268">
        <v>137.1</v>
      </c>
      <c r="N45" s="268" t="s">
        <v>298</v>
      </c>
      <c r="O45" s="268">
        <v>726.5</v>
      </c>
      <c r="P45" s="268">
        <v>746.6</v>
      </c>
      <c r="Q45" s="268">
        <v>364.7</v>
      </c>
      <c r="R45" s="268">
        <v>771.9</v>
      </c>
      <c r="S45" s="268">
        <v>20.5</v>
      </c>
      <c r="T45" s="268">
        <v>20.5</v>
      </c>
      <c r="U45" s="268">
        <v>29</v>
      </c>
      <c r="V45" s="256"/>
    </row>
    <row r="46" spans="1:24" s="168" customFormat="1" ht="11.45" customHeight="1">
      <c r="A46" s="1031" t="s">
        <v>581</v>
      </c>
      <c r="B46" s="310">
        <v>1234.2</v>
      </c>
      <c r="C46" s="310">
        <v>86.2</v>
      </c>
      <c r="D46" s="310">
        <v>88.8</v>
      </c>
      <c r="E46" s="310">
        <v>54.2</v>
      </c>
      <c r="F46" s="310">
        <v>55.5</v>
      </c>
      <c r="G46" s="310">
        <v>85.2</v>
      </c>
      <c r="H46" s="310">
        <v>270</v>
      </c>
      <c r="I46" s="310">
        <v>247</v>
      </c>
      <c r="J46" s="310" t="s">
        <v>298</v>
      </c>
      <c r="K46" s="310">
        <v>430.1</v>
      </c>
      <c r="L46" s="310" t="s">
        <v>298</v>
      </c>
      <c r="M46" s="310">
        <v>147.30000000000001</v>
      </c>
      <c r="N46" s="310" t="s">
        <v>298</v>
      </c>
      <c r="O46" s="310">
        <v>706.8</v>
      </c>
      <c r="P46" s="310">
        <v>761.4</v>
      </c>
      <c r="Q46" s="310">
        <v>371.4</v>
      </c>
      <c r="R46" s="310">
        <v>742.9</v>
      </c>
      <c r="S46" s="310">
        <v>20.8</v>
      </c>
      <c r="T46" s="310">
        <v>20.3</v>
      </c>
      <c r="U46" s="310">
        <v>30.4</v>
      </c>
      <c r="V46" s="256"/>
    </row>
    <row r="47" spans="1:24" s="168" customFormat="1" ht="11.45" customHeight="1">
      <c r="A47" s="1030" t="s">
        <v>573</v>
      </c>
      <c r="B47" s="268">
        <v>1231.4000000000001</v>
      </c>
      <c r="C47" s="268">
        <v>86.3</v>
      </c>
      <c r="D47" s="268">
        <v>87.2</v>
      </c>
      <c r="E47" s="268">
        <v>51.2</v>
      </c>
      <c r="F47" s="268">
        <v>52</v>
      </c>
      <c r="G47" s="268">
        <v>86.8</v>
      </c>
      <c r="H47" s="268">
        <v>278</v>
      </c>
      <c r="I47" s="268">
        <v>234</v>
      </c>
      <c r="J47" s="268" t="s">
        <v>298</v>
      </c>
      <c r="K47" s="268">
        <v>424.6</v>
      </c>
      <c r="L47" s="268" t="s">
        <v>298</v>
      </c>
      <c r="M47" s="268">
        <v>146.4</v>
      </c>
      <c r="N47" s="268" t="s">
        <v>298</v>
      </c>
      <c r="O47" s="268">
        <v>663.3</v>
      </c>
      <c r="P47" s="268" t="s">
        <v>298</v>
      </c>
      <c r="Q47" s="268">
        <v>356.9</v>
      </c>
      <c r="R47" s="268">
        <v>723.4</v>
      </c>
      <c r="S47" s="268">
        <v>20.5</v>
      </c>
      <c r="T47" s="268">
        <v>18.100000000000001</v>
      </c>
      <c r="U47" s="268">
        <v>29.8</v>
      </c>
      <c r="V47" s="256"/>
    </row>
    <row r="48" spans="1:24" s="168" customFormat="1" ht="11.45" customHeight="1">
      <c r="A48" s="1031" t="s">
        <v>582</v>
      </c>
      <c r="B48" s="310">
        <v>1266.9000000000001</v>
      </c>
      <c r="C48" s="310">
        <v>90.7</v>
      </c>
      <c r="D48" s="310">
        <v>70.400000000000006</v>
      </c>
      <c r="E48" s="310">
        <v>52.4</v>
      </c>
      <c r="F48" s="310">
        <v>53.1</v>
      </c>
      <c r="G48" s="310">
        <v>87</v>
      </c>
      <c r="H48" s="310">
        <v>276</v>
      </c>
      <c r="I48" s="310">
        <v>205</v>
      </c>
      <c r="J48" s="310" t="s">
        <v>298</v>
      </c>
      <c r="K48" s="310">
        <v>410.3</v>
      </c>
      <c r="L48" s="310" t="s">
        <v>298</v>
      </c>
      <c r="M48" s="310">
        <v>138.4</v>
      </c>
      <c r="N48" s="310" t="s">
        <v>298</v>
      </c>
      <c r="O48" s="310">
        <v>623.20000000000005</v>
      </c>
      <c r="P48" s="310" t="s">
        <v>298</v>
      </c>
      <c r="Q48" s="310">
        <v>342.6</v>
      </c>
      <c r="R48" s="310">
        <v>695.3</v>
      </c>
      <c r="S48" s="310">
        <v>21</v>
      </c>
      <c r="T48" s="310">
        <v>16.399999999999999</v>
      </c>
      <c r="U48" s="310">
        <v>28.7</v>
      </c>
      <c r="V48" s="256"/>
    </row>
    <row r="49" spans="1:23" s="168" customFormat="1" ht="11.45" customHeight="1" thickBot="1">
      <c r="A49" s="486" t="s">
        <v>583</v>
      </c>
      <c r="B49" s="749">
        <v>1246</v>
      </c>
      <c r="C49" s="749" t="s">
        <v>298</v>
      </c>
      <c r="D49" s="749">
        <v>61.6</v>
      </c>
      <c r="E49" s="749">
        <v>50.3</v>
      </c>
      <c r="F49" s="749">
        <v>50.9</v>
      </c>
      <c r="G49" s="749">
        <v>88.6</v>
      </c>
      <c r="H49" s="749">
        <v>273</v>
      </c>
      <c r="I49" s="749">
        <v>180</v>
      </c>
      <c r="J49" s="749" t="s">
        <v>298</v>
      </c>
      <c r="K49" s="749">
        <v>444.7</v>
      </c>
      <c r="L49" s="749" t="s">
        <v>298</v>
      </c>
      <c r="M49" s="749">
        <v>146.5</v>
      </c>
      <c r="N49" s="749" t="s">
        <v>298</v>
      </c>
      <c r="O49" s="749">
        <v>655.5</v>
      </c>
      <c r="P49" s="749" t="s">
        <v>298</v>
      </c>
      <c r="Q49" s="749">
        <v>341</v>
      </c>
      <c r="R49" s="749">
        <v>714.1</v>
      </c>
      <c r="S49" s="749">
        <v>21.5</v>
      </c>
      <c r="T49" s="749">
        <v>15.7</v>
      </c>
      <c r="U49" s="749">
        <v>28.4</v>
      </c>
      <c r="V49" s="256"/>
    </row>
    <row r="50" spans="1:23" ht="11.25" customHeight="1">
      <c r="A50" s="10" t="s">
        <v>732</v>
      </c>
      <c r="B50" s="2462" t="s">
        <v>154</v>
      </c>
      <c r="C50" s="2462"/>
      <c r="D50" s="2462"/>
      <c r="E50" s="2462"/>
      <c r="F50" s="2462"/>
      <c r="G50" s="2462"/>
      <c r="H50" s="28"/>
      <c r="I50" s="28"/>
      <c r="J50" s="28"/>
      <c r="K50" s="10"/>
      <c r="L50" s="1498"/>
      <c r="M50" s="1498"/>
      <c r="N50" s="1498"/>
      <c r="O50" s="1498"/>
      <c r="P50" s="1498"/>
      <c r="Q50" s="1498"/>
      <c r="R50" s="1041"/>
      <c r="S50" s="1041"/>
      <c r="T50" s="13"/>
      <c r="U50" s="28"/>
    </row>
    <row r="51" spans="1:23" s="13" customFormat="1" ht="9" customHeight="1">
      <c r="B51" s="2469" t="s">
        <v>155</v>
      </c>
      <c r="C51" s="2469"/>
      <c r="D51" s="2469"/>
      <c r="E51" s="2469"/>
      <c r="F51" s="2469"/>
      <c r="G51" s="2469"/>
      <c r="H51" s="2469"/>
      <c r="I51" s="672"/>
      <c r="J51" s="672"/>
      <c r="K51" s="10" t="s">
        <v>686</v>
      </c>
      <c r="L51" s="2463" t="s">
        <v>1309</v>
      </c>
      <c r="M51" s="2463"/>
      <c r="N51" s="2463"/>
      <c r="O51" s="2463"/>
      <c r="P51" s="2463"/>
      <c r="Q51" s="2463"/>
      <c r="S51" s="1041"/>
      <c r="T51" s="1041"/>
    </row>
    <row r="52" spans="1:23" s="13" customFormat="1" ht="10.5" customHeight="1">
      <c r="B52" s="2462" t="s">
        <v>1237</v>
      </c>
      <c r="C52" s="2462"/>
      <c r="F52" s="88"/>
      <c r="G52" s="141"/>
      <c r="K52" s="13" t="s">
        <v>1456</v>
      </c>
    </row>
    <row r="53" spans="1:23" s="13" customFormat="1" ht="8.25" customHeight="1">
      <c r="A53" s="32"/>
      <c r="F53" s="88"/>
      <c r="G53" s="88"/>
      <c r="I53" s="654"/>
    </row>
    <row r="54" spans="1:23">
      <c r="C54" s="88"/>
      <c r="D54" s="88"/>
      <c r="E54" s="88"/>
      <c r="F54" s="88"/>
      <c r="G54" s="88"/>
      <c r="H54" s="88"/>
      <c r="I54" s="654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54"/>
      <c r="V54" s="654"/>
      <c r="W54" s="88"/>
    </row>
    <row r="55" spans="1:23">
      <c r="C55" s="88"/>
      <c r="D55" s="88"/>
      <c r="E55" s="88"/>
      <c r="F55" s="88"/>
      <c r="G55" s="88"/>
      <c r="H55" s="88"/>
      <c r="I55" s="654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54"/>
      <c r="V55" s="654"/>
      <c r="W55" s="88"/>
    </row>
    <row r="56" spans="1:23">
      <c r="C56" s="88"/>
      <c r="D56" s="88"/>
      <c r="E56" s="88"/>
      <c r="F56" s="88"/>
      <c r="G56" s="88"/>
      <c r="H56" s="88"/>
      <c r="I56" s="654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54"/>
      <c r="V56" s="654"/>
      <c r="W56" s="88"/>
    </row>
    <row r="57" spans="1:23" ht="10.5" customHeight="1">
      <c r="C57" s="88"/>
      <c r="D57" s="88"/>
      <c r="E57" s="88"/>
      <c r="F57" s="88"/>
      <c r="G57" s="88"/>
      <c r="H57" s="88"/>
      <c r="I57" s="654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54"/>
      <c r="V57" s="654"/>
      <c r="W57" s="88"/>
    </row>
    <row r="58" spans="1:23">
      <c r="C58" s="88"/>
      <c r="D58" s="88"/>
      <c r="E58" s="88"/>
      <c r="F58" s="88"/>
      <c r="G58" s="88"/>
      <c r="H58" s="88"/>
      <c r="I58" s="654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54"/>
      <c r="V58" s="654"/>
      <c r="W58" s="88"/>
    </row>
    <row r="59" spans="1:23">
      <c r="C59" s="88"/>
      <c r="D59" s="88"/>
      <c r="E59" s="88"/>
      <c r="F59" s="88"/>
      <c r="G59" s="88"/>
      <c r="H59" s="88"/>
      <c r="I59" s="654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54"/>
      <c r="V59" s="654"/>
      <c r="W59" s="88"/>
    </row>
    <row r="60" spans="1:23">
      <c r="C60" s="88"/>
      <c r="D60" s="88"/>
      <c r="E60" s="88"/>
      <c r="F60" s="88"/>
      <c r="G60" s="88"/>
      <c r="H60" s="88"/>
      <c r="I60" s="654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54"/>
      <c r="V60" s="654"/>
      <c r="W60" s="88"/>
    </row>
    <row r="61" spans="1:23">
      <c r="C61" s="88"/>
      <c r="D61" s="88"/>
      <c r="E61" s="88"/>
      <c r="F61" s="88"/>
      <c r="G61" s="88"/>
      <c r="H61" s="88"/>
      <c r="I61" s="654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54"/>
      <c r="V61" s="654"/>
      <c r="W61" s="88"/>
    </row>
    <row r="62" spans="1:23">
      <c r="C62" s="88"/>
      <c r="D62" s="88"/>
      <c r="E62" s="88"/>
      <c r="F62" s="88"/>
      <c r="G62" s="88"/>
      <c r="H62" s="88"/>
      <c r="I62" s="654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54"/>
      <c r="V62" s="654"/>
      <c r="W62" s="88"/>
    </row>
    <row r="63" spans="1:23">
      <c r="C63" s="88"/>
      <c r="D63" s="88"/>
      <c r="E63" s="88"/>
      <c r="F63" s="88"/>
      <c r="G63" s="88"/>
      <c r="H63" s="88"/>
      <c r="I63" s="654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54"/>
      <c r="V63" s="654"/>
      <c r="W63" s="88"/>
    </row>
    <row r="64" spans="1:23">
      <c r="C64" s="88"/>
      <c r="D64" s="88"/>
      <c r="E64" s="88"/>
      <c r="F64" s="88"/>
      <c r="G64" s="88"/>
      <c r="H64" s="88"/>
      <c r="I64" s="654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54"/>
      <c r="V64" s="654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54"/>
      <c r="V65" s="654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54"/>
      <c r="V66" s="13"/>
      <c r="W66" s="88"/>
    </row>
    <row r="67" spans="3:23">
      <c r="C67" s="88"/>
      <c r="D67" s="88"/>
      <c r="E67" s="88"/>
      <c r="F67" s="88"/>
      <c r="G67" s="88"/>
      <c r="H67" s="88"/>
      <c r="I67" s="655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54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54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54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54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54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54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54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54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7"/>
  <sheetViews>
    <sheetView zoomScale="150" zoomScaleNormal="150" workbookViewId="0">
      <pane xSplit="1" ySplit="5" topLeftCell="C33" activePane="bottomRight" state="frozen"/>
      <selection activeCell="F85" sqref="F85"/>
      <selection pane="topRight" activeCell="F85" sqref="F85"/>
      <selection pane="bottomLeft" activeCell="F85" sqref="F85"/>
      <selection pane="bottomRight" activeCell="O51" sqref="O51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37" t="s">
        <v>235</v>
      </c>
      <c r="B1" s="2437"/>
      <c r="C1" s="2437"/>
      <c r="D1" s="2437"/>
      <c r="E1" s="2437"/>
      <c r="F1" s="2437"/>
      <c r="G1" s="2437"/>
      <c r="H1" s="2437"/>
      <c r="I1" s="2437"/>
      <c r="J1" s="2475" t="s">
        <v>1351</v>
      </c>
      <c r="K1" s="2475"/>
      <c r="L1" s="2475"/>
      <c r="M1" s="2475"/>
      <c r="N1" s="2475"/>
      <c r="O1" s="2473" t="s">
        <v>1635</v>
      </c>
      <c r="P1" s="2473"/>
    </row>
    <row r="2" spans="1:18" s="21" customFormat="1" ht="9.75" customHeight="1">
      <c r="O2" s="2476" t="s">
        <v>24</v>
      </c>
      <c r="P2" s="2476"/>
    </row>
    <row r="3" spans="1:18" s="79" customFormat="1" ht="13.5" customHeight="1">
      <c r="A3" s="2430" t="s">
        <v>498</v>
      </c>
      <c r="B3" s="2318" t="s">
        <v>234</v>
      </c>
      <c r="C3" s="2319"/>
      <c r="D3" s="2319"/>
      <c r="E3" s="2319"/>
      <c r="F3" s="2319"/>
      <c r="G3" s="2319"/>
      <c r="H3" s="2319"/>
      <c r="I3" s="2319"/>
      <c r="J3" s="2319"/>
      <c r="K3" s="2343"/>
      <c r="L3" s="2318" t="s">
        <v>596</v>
      </c>
      <c r="M3" s="2319"/>
      <c r="N3" s="2319"/>
      <c r="O3" s="2320"/>
      <c r="P3" s="2322" t="s">
        <v>498</v>
      </c>
    </row>
    <row r="4" spans="1:18" s="21" customFormat="1" ht="12.75" customHeight="1">
      <c r="A4" s="2430"/>
      <c r="B4" s="2474" t="s">
        <v>802</v>
      </c>
      <c r="C4" s="2478" t="s">
        <v>286</v>
      </c>
      <c r="D4" s="2187" t="s">
        <v>977</v>
      </c>
      <c r="E4" s="2187" t="s">
        <v>803</v>
      </c>
      <c r="F4" s="2237" t="s">
        <v>555</v>
      </c>
      <c r="G4" s="2237"/>
      <c r="H4" s="2480" t="s">
        <v>557</v>
      </c>
      <c r="I4" s="2481"/>
      <c r="J4" s="2477" t="s">
        <v>979</v>
      </c>
      <c r="K4" s="2187" t="s">
        <v>980</v>
      </c>
      <c r="L4" s="2477" t="s">
        <v>978</v>
      </c>
      <c r="M4" s="2477" t="s">
        <v>981</v>
      </c>
      <c r="N4" s="2477" t="s">
        <v>597</v>
      </c>
      <c r="O4" s="2477" t="s">
        <v>558</v>
      </c>
      <c r="P4" s="2211"/>
    </row>
    <row r="5" spans="1:18" s="21" customFormat="1" ht="11.25" customHeight="1">
      <c r="A5" s="2430"/>
      <c r="B5" s="2474"/>
      <c r="C5" s="2479"/>
      <c r="D5" s="2189"/>
      <c r="E5" s="2189"/>
      <c r="F5" s="1795" t="s">
        <v>496</v>
      </c>
      <c r="G5" s="1795" t="s">
        <v>556</v>
      </c>
      <c r="H5" s="1795" t="s">
        <v>496</v>
      </c>
      <c r="I5" s="1795" t="s">
        <v>556</v>
      </c>
      <c r="J5" s="2049"/>
      <c r="K5" s="2189"/>
      <c r="L5" s="2049"/>
      <c r="M5" s="2049"/>
      <c r="N5" s="2049"/>
      <c r="O5" s="2049"/>
      <c r="P5" s="2212"/>
    </row>
    <row r="6" spans="1:18" s="9" customFormat="1" ht="12" customHeight="1">
      <c r="A6" s="1794" t="s">
        <v>81</v>
      </c>
      <c r="B6" s="16">
        <v>8997.119999999999</v>
      </c>
      <c r="C6" s="16" t="s">
        <v>298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298</v>
      </c>
      <c r="P6" s="73" t="s">
        <v>81</v>
      </c>
    </row>
    <row r="7" spans="1:18" s="9" customFormat="1" ht="12" customHeight="1">
      <c r="A7" s="325" t="s">
        <v>192</v>
      </c>
      <c r="B7" s="315">
        <v>11574.13</v>
      </c>
      <c r="C7" s="315">
        <v>28.710000000000004</v>
      </c>
      <c r="D7" s="315">
        <v>486.18</v>
      </c>
      <c r="E7" s="315">
        <v>23007.520000000004</v>
      </c>
      <c r="F7" s="315">
        <v>17827.949999999997</v>
      </c>
      <c r="G7" s="315">
        <v>12375.810000000001</v>
      </c>
      <c r="H7" s="315">
        <v>9701.1600000000017</v>
      </c>
      <c r="I7" s="315">
        <v>3998.71</v>
      </c>
      <c r="J7" s="315">
        <v>402.94000000000005</v>
      </c>
      <c r="K7" s="315">
        <v>79403.11</v>
      </c>
      <c r="L7" s="315">
        <v>243.66</v>
      </c>
      <c r="M7" s="315">
        <v>57.26</v>
      </c>
      <c r="N7" s="315">
        <v>175.67000000000002</v>
      </c>
      <c r="O7" s="315">
        <v>1476.8200000000002</v>
      </c>
      <c r="P7" s="326" t="s">
        <v>192</v>
      </c>
    </row>
    <row r="8" spans="1:18" s="9" customFormat="1" ht="12" customHeight="1">
      <c r="A8" s="1275" t="s">
        <v>757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2" t="s">
        <v>757</v>
      </c>
      <c r="R8" s="166"/>
    </row>
    <row r="9" spans="1:18" s="9" customFormat="1" ht="12" customHeight="1">
      <c r="A9" s="325" t="s">
        <v>866</v>
      </c>
      <c r="B9" s="315">
        <v>13322.45</v>
      </c>
      <c r="C9" s="315">
        <v>33.47</v>
      </c>
      <c r="D9" s="315">
        <v>772.53</v>
      </c>
      <c r="E9" s="315">
        <v>37120.65</v>
      </c>
      <c r="F9" s="315">
        <v>26367.260000000002</v>
      </c>
      <c r="G9" s="315">
        <v>14846.48</v>
      </c>
      <c r="H9" s="315">
        <v>11985.29</v>
      </c>
      <c r="I9" s="315">
        <v>4205.01</v>
      </c>
      <c r="J9" s="315">
        <v>498.59</v>
      </c>
      <c r="K9" s="315">
        <v>109151.73</v>
      </c>
      <c r="L9" s="315">
        <v>293.5</v>
      </c>
      <c r="M9" s="315">
        <v>75.7</v>
      </c>
      <c r="N9" s="315">
        <v>166.19</v>
      </c>
      <c r="O9" s="315">
        <v>2015.1900000000003</v>
      </c>
      <c r="P9" s="326" t="s">
        <v>866</v>
      </c>
      <c r="R9" s="166"/>
    </row>
    <row r="10" spans="1:18" s="267" customFormat="1" ht="12" customHeight="1">
      <c r="A10" s="1797" t="s">
        <v>1051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70" t="s">
        <v>1051</v>
      </c>
      <c r="R10" s="268"/>
    </row>
    <row r="11" spans="1:18" s="267" customFormat="1" ht="12" customHeight="1">
      <c r="A11" s="1798" t="s">
        <v>1105</v>
      </c>
      <c r="B11" s="310">
        <v>15349.850000000002</v>
      </c>
      <c r="C11" s="310">
        <v>40.630000000000003</v>
      </c>
      <c r="D11" s="310">
        <v>960.37999999999988</v>
      </c>
      <c r="E11" s="310">
        <v>47477.399999999994</v>
      </c>
      <c r="F11" s="310">
        <v>32290.130000000005</v>
      </c>
      <c r="G11" s="310">
        <v>17690.469999999998</v>
      </c>
      <c r="H11" s="310">
        <v>15758.310000000001</v>
      </c>
      <c r="I11" s="310">
        <v>5252.42</v>
      </c>
      <c r="J11" s="310">
        <v>881.11</v>
      </c>
      <c r="K11" s="310">
        <v>135700.70000000001</v>
      </c>
      <c r="L11" s="315">
        <v>362.66</v>
      </c>
      <c r="M11" s="315">
        <v>86.53</v>
      </c>
      <c r="N11" s="315">
        <v>253.13</v>
      </c>
      <c r="O11" s="315">
        <v>2139.31</v>
      </c>
      <c r="P11" s="340" t="s">
        <v>1105</v>
      </c>
      <c r="R11" s="268"/>
    </row>
    <row r="12" spans="1:18" s="267" customFormat="1" ht="12" customHeight="1">
      <c r="A12" s="1797" t="s">
        <v>1231</v>
      </c>
      <c r="B12" s="268">
        <v>18016.580000000002</v>
      </c>
      <c r="C12" s="268">
        <v>32.749999999999993</v>
      </c>
      <c r="D12" s="268">
        <v>1582.0299999999997</v>
      </c>
      <c r="E12" s="268">
        <v>53235.45</v>
      </c>
      <c r="F12" s="268">
        <v>34862.82</v>
      </c>
      <c r="G12" s="268">
        <v>20583.86</v>
      </c>
      <c r="H12" s="268">
        <v>19630.96</v>
      </c>
      <c r="I12" s="268">
        <v>6560.2000000000007</v>
      </c>
      <c r="J12" s="268">
        <v>1014.0699999999999</v>
      </c>
      <c r="K12" s="268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70" t="s">
        <v>1231</v>
      </c>
      <c r="Q12" s="268"/>
    </row>
    <row r="13" spans="1:18" s="267" customFormat="1" ht="12" customHeight="1">
      <c r="A13" s="1798" t="s">
        <v>1263</v>
      </c>
      <c r="B13" s="310">
        <v>21069.19</v>
      </c>
      <c r="C13" s="310">
        <v>22.699999999999996</v>
      </c>
      <c r="D13" s="310">
        <v>1790.5100000000002</v>
      </c>
      <c r="E13" s="310">
        <v>52754.93</v>
      </c>
      <c r="F13" s="310">
        <v>38287.759999999995</v>
      </c>
      <c r="G13" s="310">
        <v>25561.09</v>
      </c>
      <c r="H13" s="310">
        <v>23481.699999999997</v>
      </c>
      <c r="I13" s="310">
        <v>7628.89</v>
      </c>
      <c r="J13" s="310">
        <v>1059.67</v>
      </c>
      <c r="K13" s="310">
        <v>171656.43999999997</v>
      </c>
      <c r="L13" s="315">
        <v>1684.0539999999999</v>
      </c>
      <c r="M13" s="315">
        <v>100.30000000000001</v>
      </c>
      <c r="N13" s="315">
        <v>374.15</v>
      </c>
      <c r="O13" s="315">
        <v>2470.79</v>
      </c>
      <c r="P13" s="340" t="s">
        <v>1263</v>
      </c>
      <c r="Q13" s="268"/>
    </row>
    <row r="14" spans="1:18" s="267" customFormat="1" ht="12" customHeight="1">
      <c r="A14" s="1797" t="s">
        <v>1392</v>
      </c>
      <c r="B14" s="268">
        <v>24502.12</v>
      </c>
      <c r="C14" s="268">
        <v>35.769999999999996</v>
      </c>
      <c r="D14" s="268">
        <v>2080.3399999999997</v>
      </c>
      <c r="E14" s="268">
        <v>64548.260000000009</v>
      </c>
      <c r="F14" s="268">
        <v>47171.799999999996</v>
      </c>
      <c r="G14" s="268">
        <v>29367.759999999998</v>
      </c>
      <c r="H14" s="268">
        <v>29639.15</v>
      </c>
      <c r="I14" s="268">
        <v>7912.2300000000005</v>
      </c>
      <c r="J14" s="268">
        <v>1149.8200000000002</v>
      </c>
      <c r="K14" s="268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70" t="s">
        <v>1392</v>
      </c>
      <c r="Q14" s="268"/>
    </row>
    <row r="15" spans="1:18" s="267" customFormat="1" ht="12" customHeight="1">
      <c r="A15" s="1798" t="s">
        <v>1511</v>
      </c>
      <c r="B15" s="310">
        <v>24277.399999999998</v>
      </c>
      <c r="C15" s="310">
        <v>42.169999999999995</v>
      </c>
      <c r="D15" s="310">
        <v>2373.3299999999995</v>
      </c>
      <c r="E15" s="310">
        <v>71795.500000000015</v>
      </c>
      <c r="F15" s="310">
        <v>56323.020000000004</v>
      </c>
      <c r="G15" s="310">
        <v>31398.55</v>
      </c>
      <c r="H15" s="310">
        <v>28891.02</v>
      </c>
      <c r="I15" s="310">
        <v>7664.0400000000009</v>
      </c>
      <c r="J15" s="310">
        <v>1127.3900000000001</v>
      </c>
      <c r="K15" s="310">
        <v>223892.42</v>
      </c>
      <c r="L15" s="315">
        <v>892.1400000000001</v>
      </c>
      <c r="M15" s="315">
        <v>100.23</v>
      </c>
      <c r="N15" s="315">
        <v>443.39</v>
      </c>
      <c r="O15" s="315">
        <v>3032.62</v>
      </c>
      <c r="P15" s="340" t="s">
        <v>1511</v>
      </c>
      <c r="Q15" s="268"/>
    </row>
    <row r="16" spans="1:18" s="168" customFormat="1" ht="12" customHeight="1">
      <c r="A16" s="1797" t="s">
        <v>1602</v>
      </c>
      <c r="B16" s="1670">
        <v>23559.5</v>
      </c>
      <c r="C16" s="1670">
        <v>1.0300000000000002</v>
      </c>
      <c r="D16" s="1670">
        <v>2279.4000000000005</v>
      </c>
      <c r="E16" s="1670">
        <v>70501.5</v>
      </c>
      <c r="F16" s="1670">
        <v>56080.7</v>
      </c>
      <c r="G16" s="1670">
        <v>30016.640000000007</v>
      </c>
      <c r="H16" s="1670">
        <v>25471.140000000003</v>
      </c>
      <c r="I16" s="1670">
        <v>6975.1500000000005</v>
      </c>
      <c r="J16" s="1670">
        <v>1566.73</v>
      </c>
      <c r="K16" s="1670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70" t="s">
        <v>1602</v>
      </c>
    </row>
    <row r="17" spans="1:16" s="168" customFormat="1" ht="12" customHeight="1">
      <c r="A17" s="1799" t="s">
        <v>1668</v>
      </c>
      <c r="B17" s="353">
        <v>30455.91</v>
      </c>
      <c r="C17" s="353">
        <v>0.6</v>
      </c>
      <c r="D17" s="353">
        <v>2418.1799999999998</v>
      </c>
      <c r="E17" s="353">
        <v>86693.939999999988</v>
      </c>
      <c r="F17" s="353">
        <v>63786.770000000004</v>
      </c>
      <c r="G17" s="353">
        <v>38271.78</v>
      </c>
      <c r="H17" s="353">
        <v>30047.73</v>
      </c>
      <c r="I17" s="353">
        <v>8422.1200000000008</v>
      </c>
      <c r="J17" s="353">
        <v>1592.17</v>
      </c>
      <c r="K17" s="353">
        <v>261689.19999999995</v>
      </c>
      <c r="L17" s="353">
        <v>840.56999999999994</v>
      </c>
      <c r="M17" s="353">
        <v>87.8</v>
      </c>
      <c r="N17" s="353">
        <v>318.12</v>
      </c>
      <c r="O17" s="353">
        <v>9056.1600000000017</v>
      </c>
      <c r="P17" s="572" t="s">
        <v>1668</v>
      </c>
    </row>
    <row r="18" spans="1:16" s="168" customFormat="1" ht="12" customHeight="1">
      <c r="A18" s="936" t="s">
        <v>2018</v>
      </c>
      <c r="B18" s="360">
        <f>SUM(B19:B30)</f>
        <v>35276.579999999994</v>
      </c>
      <c r="C18" s="360">
        <f t="shared" ref="C18:O18" si="0">SUM(C19:C30)</f>
        <v>0.67</v>
      </c>
      <c r="D18" s="360">
        <f t="shared" si="0"/>
        <v>3102.86</v>
      </c>
      <c r="E18" s="360">
        <f t="shared" si="0"/>
        <v>102908.16</v>
      </c>
      <c r="F18" s="360">
        <f t="shared" si="0"/>
        <v>72606.449999999983</v>
      </c>
      <c r="G18" s="360">
        <f t="shared" si="0"/>
        <v>44328.739999999991</v>
      </c>
      <c r="H18" s="360">
        <f t="shared" si="0"/>
        <v>31234.449999999997</v>
      </c>
      <c r="I18" s="360">
        <f t="shared" si="0"/>
        <v>9817.81</v>
      </c>
      <c r="J18" s="360">
        <f t="shared" si="0"/>
        <v>2358.12</v>
      </c>
      <c r="K18" s="360">
        <f t="shared" si="0"/>
        <v>301633.83999999997</v>
      </c>
      <c r="L18" s="360">
        <f t="shared" si="0"/>
        <v>860.08999999999992</v>
      </c>
      <c r="M18" s="360">
        <f t="shared" si="0"/>
        <v>124.69</v>
      </c>
      <c r="N18" s="360">
        <f t="shared" si="0"/>
        <v>230.06</v>
      </c>
      <c r="O18" s="360">
        <f t="shared" si="0"/>
        <v>10402.980000000001</v>
      </c>
      <c r="P18" s="377" t="s">
        <v>2018</v>
      </c>
    </row>
    <row r="19" spans="1:16" s="168" customFormat="1" ht="12" customHeight="1">
      <c r="A19" s="609" t="s">
        <v>576</v>
      </c>
      <c r="B19" s="310">
        <v>1933.39</v>
      </c>
      <c r="C19" s="310">
        <v>0.62</v>
      </c>
      <c r="D19" s="310">
        <v>34.65</v>
      </c>
      <c r="E19" s="310">
        <v>4711.41</v>
      </c>
      <c r="F19" s="310">
        <v>4267.47</v>
      </c>
      <c r="G19" s="310">
        <v>2499.27</v>
      </c>
      <c r="H19" s="310">
        <v>1353.4</v>
      </c>
      <c r="I19" s="310">
        <v>481.4</v>
      </c>
      <c r="J19" s="310">
        <f>0.03+41.93+20.68</f>
        <v>62.64</v>
      </c>
      <c r="K19" s="310">
        <f t="shared" ref="K19:K33" si="1">SUM(B19:J19)</f>
        <v>15344.25</v>
      </c>
      <c r="L19" s="310">
        <v>9.6300000000000008</v>
      </c>
      <c r="M19" s="310">
        <v>1.89</v>
      </c>
      <c r="N19" s="310">
        <v>5.6</v>
      </c>
      <c r="O19" s="310">
        <v>216.96</v>
      </c>
      <c r="P19" s="320" t="s">
        <v>576</v>
      </c>
    </row>
    <row r="20" spans="1:16" s="168" customFormat="1" ht="12" customHeight="1">
      <c r="A20" s="250" t="s">
        <v>577</v>
      </c>
      <c r="B20" s="268">
        <v>2556.0500000000002</v>
      </c>
      <c r="C20" s="268">
        <v>0.05</v>
      </c>
      <c r="D20" s="268">
        <v>59.01</v>
      </c>
      <c r="E20" s="268">
        <v>5242.96</v>
      </c>
      <c r="F20" s="268">
        <v>4805.08</v>
      </c>
      <c r="G20" s="268">
        <v>3370.35</v>
      </c>
      <c r="H20" s="268">
        <v>2346.04</v>
      </c>
      <c r="I20" s="268">
        <v>720.73</v>
      </c>
      <c r="J20" s="268">
        <f>0.06+57.89+27.84</f>
        <v>85.79</v>
      </c>
      <c r="K20" s="268">
        <f t="shared" si="1"/>
        <v>19186.060000000001</v>
      </c>
      <c r="L20" s="268">
        <v>40.49</v>
      </c>
      <c r="M20" s="268">
        <v>4.97</v>
      </c>
      <c r="N20" s="268">
        <v>10.44</v>
      </c>
      <c r="O20" s="268">
        <v>744.89</v>
      </c>
      <c r="P20" s="215" t="s">
        <v>577</v>
      </c>
    </row>
    <row r="21" spans="1:16" s="168" customFormat="1" ht="12" customHeight="1">
      <c r="A21" s="609" t="s">
        <v>571</v>
      </c>
      <c r="B21" s="310">
        <v>3230.7</v>
      </c>
      <c r="C21" s="310">
        <v>0</v>
      </c>
      <c r="D21" s="310">
        <v>65.010000000000005</v>
      </c>
      <c r="E21" s="310">
        <v>7917</v>
      </c>
      <c r="F21" s="310">
        <v>5418.97</v>
      </c>
      <c r="G21" s="310">
        <v>3663.92</v>
      </c>
      <c r="H21" s="310">
        <v>2581.77</v>
      </c>
      <c r="I21" s="310">
        <v>810.3</v>
      </c>
      <c r="J21" s="310">
        <f>0.11+62.51+29.52</f>
        <v>92.14</v>
      </c>
      <c r="K21" s="310">
        <f t="shared" si="1"/>
        <v>23779.809999999998</v>
      </c>
      <c r="L21" s="310">
        <v>77.52</v>
      </c>
      <c r="M21" s="310">
        <v>11.43</v>
      </c>
      <c r="N21" s="310">
        <v>17.739999999999998</v>
      </c>
      <c r="O21" s="310">
        <v>1113.45</v>
      </c>
      <c r="P21" s="320" t="s">
        <v>571</v>
      </c>
    </row>
    <row r="22" spans="1:16" s="168" customFormat="1" ht="12" customHeight="1">
      <c r="A22" s="250" t="s">
        <v>578</v>
      </c>
      <c r="B22" s="268">
        <v>2723.41</v>
      </c>
      <c r="C22" s="268">
        <v>0</v>
      </c>
      <c r="D22" s="268">
        <v>63.38</v>
      </c>
      <c r="E22" s="268">
        <v>5669.14</v>
      </c>
      <c r="F22" s="268">
        <v>5388.53</v>
      </c>
      <c r="G22" s="268">
        <v>3598.02</v>
      </c>
      <c r="H22" s="268">
        <v>2780.14</v>
      </c>
      <c r="I22" s="268">
        <v>763.56</v>
      </c>
      <c r="J22" s="268">
        <f>0.07+69.88+51.69</f>
        <v>121.63999999999999</v>
      </c>
      <c r="K22" s="268">
        <f t="shared" si="1"/>
        <v>21107.82</v>
      </c>
      <c r="L22" s="268">
        <v>70.36</v>
      </c>
      <c r="M22" s="268">
        <v>8.6999999999999993</v>
      </c>
      <c r="N22" s="268">
        <v>14.11</v>
      </c>
      <c r="O22" s="268">
        <v>927.89</v>
      </c>
      <c r="P22" s="215" t="s">
        <v>578</v>
      </c>
    </row>
    <row r="23" spans="1:16" s="168" customFormat="1" ht="12" customHeight="1">
      <c r="A23" s="609" t="s">
        <v>579</v>
      </c>
      <c r="B23" s="310">
        <v>2877.57</v>
      </c>
      <c r="C23" s="310">
        <v>0</v>
      </c>
      <c r="D23" s="310">
        <v>74.62</v>
      </c>
      <c r="E23" s="310">
        <v>5971.02</v>
      </c>
      <c r="F23" s="310">
        <v>5698.88</v>
      </c>
      <c r="G23" s="310">
        <v>3780.48</v>
      </c>
      <c r="H23" s="310">
        <v>2717.93</v>
      </c>
      <c r="I23" s="310">
        <v>809.11</v>
      </c>
      <c r="J23" s="310">
        <f>0.03+143.01+57.19</f>
        <v>200.23</v>
      </c>
      <c r="K23" s="310">
        <f t="shared" si="1"/>
        <v>22129.84</v>
      </c>
      <c r="L23" s="310">
        <v>74.91</v>
      </c>
      <c r="M23" s="310">
        <v>9.6</v>
      </c>
      <c r="N23" s="310">
        <v>15.54</v>
      </c>
      <c r="O23" s="310">
        <v>1039.56</v>
      </c>
      <c r="P23" s="320" t="s">
        <v>579</v>
      </c>
    </row>
    <row r="24" spans="1:16" s="168" customFormat="1" ht="12" customHeight="1">
      <c r="A24" s="250" t="s">
        <v>572</v>
      </c>
      <c r="B24" s="268">
        <v>2909.25</v>
      </c>
      <c r="C24" s="268">
        <v>0</v>
      </c>
      <c r="D24" s="268">
        <v>1491.55</v>
      </c>
      <c r="E24" s="268">
        <v>9859.65</v>
      </c>
      <c r="F24" s="268">
        <v>6021.3</v>
      </c>
      <c r="G24" s="268">
        <v>3594.78</v>
      </c>
      <c r="H24" s="268">
        <v>2663.02</v>
      </c>
      <c r="I24" s="268">
        <v>820.46</v>
      </c>
      <c r="J24" s="268">
        <f>0.06+76.51+77.04</f>
        <v>153.61000000000001</v>
      </c>
      <c r="K24" s="268">
        <f t="shared" si="1"/>
        <v>27513.62</v>
      </c>
      <c r="L24" s="268">
        <v>62.34</v>
      </c>
      <c r="M24" s="268">
        <v>10.34</v>
      </c>
      <c r="N24" s="268">
        <v>9.8699999999999992</v>
      </c>
      <c r="O24" s="268">
        <v>133.12</v>
      </c>
      <c r="P24" s="215" t="s">
        <v>572</v>
      </c>
    </row>
    <row r="25" spans="1:16" s="168" customFormat="1" ht="12" customHeight="1">
      <c r="A25" s="609" t="s">
        <v>580</v>
      </c>
      <c r="B25" s="310">
        <v>2955.71</v>
      </c>
      <c r="C25" s="310">
        <v>0</v>
      </c>
      <c r="D25" s="310">
        <v>527.32000000000005</v>
      </c>
      <c r="E25" s="310">
        <v>7036.32</v>
      </c>
      <c r="F25" s="310">
        <v>6147.76</v>
      </c>
      <c r="G25" s="310">
        <v>3780.5</v>
      </c>
      <c r="H25" s="310">
        <v>2921.99</v>
      </c>
      <c r="I25" s="310">
        <v>798.25</v>
      </c>
      <c r="J25" s="310">
        <f>0+84.47+97.28</f>
        <v>181.75</v>
      </c>
      <c r="K25" s="310">
        <f t="shared" si="1"/>
        <v>24349.599999999999</v>
      </c>
      <c r="L25" s="310">
        <v>67.81</v>
      </c>
      <c r="M25" s="310">
        <v>12.74</v>
      </c>
      <c r="N25" s="310">
        <v>10.31</v>
      </c>
      <c r="O25" s="310">
        <v>1146.31</v>
      </c>
      <c r="P25" s="320" t="s">
        <v>580</v>
      </c>
    </row>
    <row r="26" spans="1:16" s="168" customFormat="1" ht="12" customHeight="1">
      <c r="A26" s="250" t="s">
        <v>581</v>
      </c>
      <c r="B26" s="268">
        <v>3081.62</v>
      </c>
      <c r="C26" s="268">
        <v>0</v>
      </c>
      <c r="D26" s="268">
        <v>259.25</v>
      </c>
      <c r="E26" s="268">
        <v>6446.87</v>
      </c>
      <c r="F26" s="268">
        <v>5615.67</v>
      </c>
      <c r="G26" s="268">
        <v>4060.43</v>
      </c>
      <c r="H26" s="268">
        <v>2491.92</v>
      </c>
      <c r="I26" s="268">
        <v>905.89</v>
      </c>
      <c r="J26" s="268">
        <f>0.11+65+92.7</f>
        <v>157.81</v>
      </c>
      <c r="K26" s="268">
        <f t="shared" si="1"/>
        <v>23019.460000000003</v>
      </c>
      <c r="L26" s="268">
        <v>60.46</v>
      </c>
      <c r="M26" s="268">
        <v>10.4</v>
      </c>
      <c r="N26" s="268">
        <v>9.15</v>
      </c>
      <c r="O26" s="268">
        <v>906.21</v>
      </c>
      <c r="P26" s="215" t="s">
        <v>581</v>
      </c>
    </row>
    <row r="27" spans="1:16" s="168" customFormat="1" ht="12" customHeight="1">
      <c r="A27" s="609" t="s">
        <v>573</v>
      </c>
      <c r="B27" s="310">
        <v>3239.52</v>
      </c>
      <c r="C27" s="310">
        <v>0</v>
      </c>
      <c r="D27" s="310">
        <v>118.55</v>
      </c>
      <c r="E27" s="310">
        <v>10252.530000000001</v>
      </c>
      <c r="F27" s="310">
        <v>5801.56</v>
      </c>
      <c r="G27" s="310">
        <v>4078.89</v>
      </c>
      <c r="H27" s="310">
        <v>2909.53</v>
      </c>
      <c r="I27" s="310">
        <v>977.75</v>
      </c>
      <c r="J27" s="310">
        <f>0.08+72.83+97.34</f>
        <v>170.25</v>
      </c>
      <c r="K27" s="310">
        <f t="shared" si="1"/>
        <v>27548.579999999998</v>
      </c>
      <c r="L27" s="310">
        <v>72.77</v>
      </c>
      <c r="M27" s="310">
        <v>12.22</v>
      </c>
      <c r="N27" s="310">
        <v>9.8800000000000008</v>
      </c>
      <c r="O27" s="310">
        <v>1205.1400000000001</v>
      </c>
      <c r="P27" s="320" t="s">
        <v>573</v>
      </c>
    </row>
    <row r="28" spans="1:16" s="168" customFormat="1" ht="12" customHeight="1">
      <c r="A28" s="250" t="s">
        <v>582</v>
      </c>
      <c r="B28" s="268">
        <v>3155.35</v>
      </c>
      <c r="C28" s="268">
        <v>0</v>
      </c>
      <c r="D28" s="268">
        <v>118.21</v>
      </c>
      <c r="E28" s="268">
        <v>6003.38</v>
      </c>
      <c r="F28" s="268">
        <v>6289.82</v>
      </c>
      <c r="G28" s="268">
        <v>3937.06</v>
      </c>
      <c r="H28" s="268">
        <v>3139.3</v>
      </c>
      <c r="I28" s="268">
        <v>886.71</v>
      </c>
      <c r="J28" s="268">
        <f>0+75.8+118.21</f>
        <v>194.01</v>
      </c>
      <c r="K28" s="268">
        <f t="shared" si="1"/>
        <v>23723.839999999997</v>
      </c>
      <c r="L28" s="268">
        <v>70.13</v>
      </c>
      <c r="M28" s="268">
        <v>10.75</v>
      </c>
      <c r="N28" s="268">
        <v>9.2899999999999991</v>
      </c>
      <c r="O28" s="268">
        <v>889.69</v>
      </c>
      <c r="P28" s="215" t="s">
        <v>582</v>
      </c>
    </row>
    <row r="29" spans="1:16" s="168" customFormat="1" ht="12" customHeight="1">
      <c r="A29" s="609" t="s">
        <v>583</v>
      </c>
      <c r="B29" s="310">
        <v>3016.07</v>
      </c>
      <c r="C29" s="310">
        <v>0</v>
      </c>
      <c r="D29" s="310">
        <v>131.63999999999999</v>
      </c>
      <c r="E29" s="310">
        <v>7411.86</v>
      </c>
      <c r="F29" s="310">
        <v>6736.2</v>
      </c>
      <c r="G29" s="310">
        <v>3621.81</v>
      </c>
      <c r="H29" s="310">
        <v>3104.94</v>
      </c>
      <c r="I29" s="310">
        <v>791.81</v>
      </c>
      <c r="J29" s="310">
        <f>0.02+257.86+94.48</f>
        <v>352.36</v>
      </c>
      <c r="K29" s="310">
        <f t="shared" si="1"/>
        <v>25166.690000000002</v>
      </c>
      <c r="L29" s="310">
        <v>66.36</v>
      </c>
      <c r="M29" s="310">
        <v>16.86</v>
      </c>
      <c r="N29" s="310">
        <v>7.35</v>
      </c>
      <c r="O29" s="310">
        <v>794.95</v>
      </c>
      <c r="P29" s="320" t="s">
        <v>583</v>
      </c>
    </row>
    <row r="30" spans="1:16" s="168" customFormat="1" ht="12" customHeight="1">
      <c r="A30" s="250" t="s">
        <v>574</v>
      </c>
      <c r="B30" s="268">
        <v>3597.94</v>
      </c>
      <c r="C30" s="268">
        <v>0</v>
      </c>
      <c r="D30" s="268">
        <v>159.66999999999999</v>
      </c>
      <c r="E30" s="268">
        <v>26386.02</v>
      </c>
      <c r="F30" s="268">
        <v>10415.209999999999</v>
      </c>
      <c r="G30" s="268">
        <v>4343.2299999999996</v>
      </c>
      <c r="H30" s="268">
        <v>2224.4699999999998</v>
      </c>
      <c r="I30" s="268">
        <v>1051.8399999999999</v>
      </c>
      <c r="J30" s="268">
        <f>0.06+466.15+119.68</f>
        <v>585.89</v>
      </c>
      <c r="K30" s="268">
        <f t="shared" si="1"/>
        <v>48764.26999999999</v>
      </c>
      <c r="L30" s="268">
        <v>187.31</v>
      </c>
      <c r="M30" s="268">
        <v>14.79</v>
      </c>
      <c r="N30" s="268">
        <v>110.78</v>
      </c>
      <c r="O30" s="268">
        <v>1284.81</v>
      </c>
      <c r="P30" s="215" t="s">
        <v>574</v>
      </c>
    </row>
    <row r="31" spans="1:16" s="168" customFormat="1" ht="12" customHeight="1">
      <c r="A31" s="1411" t="s">
        <v>2300</v>
      </c>
      <c r="B31" s="353">
        <f>SUM(B32:B43)</f>
        <v>36861.229999999996</v>
      </c>
      <c r="C31" s="353">
        <f t="shared" ref="C31:M31" si="2">SUM(C32:C43)</f>
        <v>2.8599999999999985</v>
      </c>
      <c r="D31" s="353">
        <f t="shared" si="2"/>
        <v>9928.7299999999977</v>
      </c>
      <c r="E31" s="353">
        <f t="shared" si="2"/>
        <v>111791.82</v>
      </c>
      <c r="F31" s="353">
        <f t="shared" si="2"/>
        <v>78289.719999999987</v>
      </c>
      <c r="G31" s="353">
        <f t="shared" si="2"/>
        <v>45689.799999999996</v>
      </c>
      <c r="H31" s="353">
        <f t="shared" si="2"/>
        <v>35282.53</v>
      </c>
      <c r="I31" s="353">
        <f t="shared" si="2"/>
        <v>10178.460000000001</v>
      </c>
      <c r="J31" s="353">
        <f t="shared" si="2"/>
        <v>3429.7280000000001</v>
      </c>
      <c r="K31" s="353">
        <f t="shared" si="2"/>
        <v>331454.87800000003</v>
      </c>
      <c r="L31" s="353">
        <f t="shared" si="2"/>
        <v>1020.7299999999999</v>
      </c>
      <c r="M31" s="353">
        <f t="shared" si="2"/>
        <v>142.55000000000001</v>
      </c>
      <c r="N31" s="353">
        <f>SUM(N32:N43)</f>
        <v>201.49</v>
      </c>
      <c r="O31" s="353">
        <f>SUM(O32:O43)</f>
        <v>15288.83</v>
      </c>
      <c r="P31" s="322" t="s">
        <v>2300</v>
      </c>
    </row>
    <row r="32" spans="1:16" s="168" customFormat="1" ht="12" customHeight="1">
      <c r="A32" s="250" t="s">
        <v>576</v>
      </c>
      <c r="B32" s="268">
        <v>2692.53</v>
      </c>
      <c r="C32" s="268">
        <v>0.7</v>
      </c>
      <c r="D32" s="268">
        <v>4768.28</v>
      </c>
      <c r="E32" s="268">
        <v>4659.8599999999997</v>
      </c>
      <c r="F32" s="268">
        <v>1368.51</v>
      </c>
      <c r="G32" s="268">
        <v>3315.15</v>
      </c>
      <c r="H32" s="268">
        <v>115.56</v>
      </c>
      <c r="I32" s="268">
        <v>758.3</v>
      </c>
      <c r="J32" s="268">
        <f>0.03+46.95+95.22</f>
        <v>142.19999999999999</v>
      </c>
      <c r="K32" s="268">
        <f t="shared" si="1"/>
        <v>17821.09</v>
      </c>
      <c r="L32" s="268">
        <v>44.05</v>
      </c>
      <c r="M32" s="268">
        <v>4.9000000000000004</v>
      </c>
      <c r="N32" s="268">
        <v>6.43</v>
      </c>
      <c r="O32" s="268">
        <v>1011.8</v>
      </c>
      <c r="P32" s="215" t="s">
        <v>576</v>
      </c>
    </row>
    <row r="33" spans="1:16" s="168" customFormat="1" ht="12" customHeight="1">
      <c r="A33" s="609" t="s">
        <v>577</v>
      </c>
      <c r="B33" s="310">
        <v>3330.91</v>
      </c>
      <c r="C33" s="310">
        <v>1.57</v>
      </c>
      <c r="D33" s="310">
        <v>124.41</v>
      </c>
      <c r="E33" s="310">
        <v>5544.96</v>
      </c>
      <c r="F33" s="310">
        <v>5991.45</v>
      </c>
      <c r="G33" s="310">
        <v>3861.21</v>
      </c>
      <c r="H33" s="310">
        <v>2556.65</v>
      </c>
      <c r="I33" s="310">
        <v>903.23</v>
      </c>
      <c r="J33" s="310">
        <f>0.02+65.37+96.78</f>
        <v>162.17000000000002</v>
      </c>
      <c r="K33" s="310">
        <f t="shared" si="1"/>
        <v>22476.559999999998</v>
      </c>
      <c r="L33" s="310">
        <v>68.16</v>
      </c>
      <c r="M33" s="310">
        <v>9.11</v>
      </c>
      <c r="N33" s="310">
        <v>7.59</v>
      </c>
      <c r="O33" s="310">
        <v>1235.6600000000001</v>
      </c>
      <c r="P33" s="320" t="s">
        <v>577</v>
      </c>
    </row>
    <row r="34" spans="1:16" s="168" customFormat="1" ht="12" customHeight="1">
      <c r="A34" s="250" t="s">
        <v>571</v>
      </c>
      <c r="B34" s="268">
        <v>3026.84</v>
      </c>
      <c r="C34" s="268">
        <v>0.24</v>
      </c>
      <c r="D34" s="268">
        <v>142.9</v>
      </c>
      <c r="E34" s="268">
        <v>9606.2900000000009</v>
      </c>
      <c r="F34" s="268">
        <v>6528.06</v>
      </c>
      <c r="G34" s="268">
        <v>3732.29</v>
      </c>
      <c r="H34" s="268">
        <v>3105.3</v>
      </c>
      <c r="I34" s="268">
        <v>831.97</v>
      </c>
      <c r="J34" s="268">
        <f>0.05+87.31+122.68</f>
        <v>210.04000000000002</v>
      </c>
      <c r="K34" s="268">
        <f t="shared" ref="K34:K40" si="3">SUM(B34:J34)</f>
        <v>27183.930000000004</v>
      </c>
      <c r="L34" s="268">
        <v>93.55</v>
      </c>
      <c r="M34" s="268">
        <v>10.07</v>
      </c>
      <c r="N34" s="268">
        <v>7.57</v>
      </c>
      <c r="O34" s="268">
        <v>1192.28</v>
      </c>
      <c r="P34" s="215" t="s">
        <v>571</v>
      </c>
    </row>
    <row r="35" spans="1:16" s="168" customFormat="1" ht="12" customHeight="1">
      <c r="A35" s="609" t="s">
        <v>578</v>
      </c>
      <c r="B35" s="310">
        <v>2979.88</v>
      </c>
      <c r="C35" s="310">
        <v>0.19</v>
      </c>
      <c r="D35" s="310">
        <v>158.94999999999999</v>
      </c>
      <c r="E35" s="310">
        <v>6527.94</v>
      </c>
      <c r="F35" s="310">
        <v>6506.95</v>
      </c>
      <c r="G35" s="310">
        <v>3666.87</v>
      </c>
      <c r="H35" s="310">
        <v>3023.35</v>
      </c>
      <c r="I35" s="310">
        <v>834.99</v>
      </c>
      <c r="J35" s="310">
        <f>0.018+75.37+129.79</f>
        <v>205.178</v>
      </c>
      <c r="K35" s="310">
        <f t="shared" si="3"/>
        <v>23904.297999999999</v>
      </c>
      <c r="L35" s="310">
        <v>70.59</v>
      </c>
      <c r="M35" s="310">
        <v>9.74</v>
      </c>
      <c r="N35" s="310">
        <v>6.44</v>
      </c>
      <c r="O35" s="310">
        <v>1235.6600000000001</v>
      </c>
      <c r="P35" s="320" t="s">
        <v>578</v>
      </c>
    </row>
    <row r="36" spans="1:16" s="168" customFormat="1" ht="12" customHeight="1">
      <c r="A36" s="250" t="s">
        <v>579</v>
      </c>
      <c r="B36" s="268">
        <v>3109.85</v>
      </c>
      <c r="C36" s="268">
        <v>0.08</v>
      </c>
      <c r="D36" s="268">
        <v>148.84</v>
      </c>
      <c r="E36" s="268">
        <v>6628</v>
      </c>
      <c r="F36" s="268">
        <v>6756.48</v>
      </c>
      <c r="G36" s="268">
        <v>4104.8500000000004</v>
      </c>
      <c r="H36" s="268">
        <v>2888.98</v>
      </c>
      <c r="I36" s="268">
        <v>920.51</v>
      </c>
      <c r="J36" s="268">
        <f>0.05+221.94+120.42</f>
        <v>342.41</v>
      </c>
      <c r="K36" s="268">
        <f t="shared" si="3"/>
        <v>24899.999999999996</v>
      </c>
      <c r="L36" s="268">
        <v>93.82</v>
      </c>
      <c r="M36" s="268">
        <v>10.94</v>
      </c>
      <c r="N36" s="268">
        <v>11.78</v>
      </c>
      <c r="O36" s="268">
        <v>1221.92</v>
      </c>
      <c r="P36" s="215" t="s">
        <v>579</v>
      </c>
    </row>
    <row r="37" spans="1:16" s="168" customFormat="1" ht="12" customHeight="1">
      <c r="A37" s="609" t="s">
        <v>572</v>
      </c>
      <c r="B37" s="310">
        <v>2722.65</v>
      </c>
      <c r="C37" s="310">
        <v>0.01</v>
      </c>
      <c r="D37" s="310">
        <v>1963.61</v>
      </c>
      <c r="E37" s="310">
        <v>10991.98</v>
      </c>
      <c r="F37" s="310">
        <v>6872.87</v>
      </c>
      <c r="G37" s="310">
        <v>3416.51</v>
      </c>
      <c r="H37" s="310">
        <v>2718.26</v>
      </c>
      <c r="I37" s="310">
        <v>739.4</v>
      </c>
      <c r="J37" s="310">
        <f>0+70.12+118.44</f>
        <v>188.56</v>
      </c>
      <c r="K37" s="310">
        <f t="shared" si="3"/>
        <v>29613.850000000002</v>
      </c>
      <c r="L37" s="310">
        <v>92.42</v>
      </c>
      <c r="M37" s="310">
        <v>13.66</v>
      </c>
      <c r="N37" s="310">
        <v>6.32</v>
      </c>
      <c r="O37" s="310">
        <v>1511.22</v>
      </c>
      <c r="P37" s="320" t="s">
        <v>572</v>
      </c>
    </row>
    <row r="38" spans="1:16" s="168" customFormat="1" ht="12" customHeight="1">
      <c r="A38" s="250" t="s">
        <v>580</v>
      </c>
      <c r="B38" s="268">
        <v>3053.41</v>
      </c>
      <c r="C38" s="268">
        <v>0.01</v>
      </c>
      <c r="D38" s="268">
        <v>481.04</v>
      </c>
      <c r="E38" s="268">
        <v>8504.11</v>
      </c>
      <c r="F38" s="268">
        <v>6793.74</v>
      </c>
      <c r="G38" s="268">
        <v>3581.14</v>
      </c>
      <c r="H38" s="268">
        <v>3297.16</v>
      </c>
      <c r="I38" s="268">
        <v>859.74</v>
      </c>
      <c r="J38" s="268">
        <f>12.96+180.76+114.72</f>
        <v>308.44</v>
      </c>
      <c r="K38" s="268">
        <f t="shared" si="3"/>
        <v>26878.789999999997</v>
      </c>
      <c r="L38" s="268">
        <v>101.53</v>
      </c>
      <c r="M38" s="268">
        <v>13.61</v>
      </c>
      <c r="N38" s="268">
        <v>7.8</v>
      </c>
      <c r="O38" s="268">
        <v>1255.95</v>
      </c>
      <c r="P38" s="215" t="s">
        <v>580</v>
      </c>
    </row>
    <row r="39" spans="1:16" s="168" customFormat="1" ht="12" customHeight="1">
      <c r="A39" s="609" t="s">
        <v>581</v>
      </c>
      <c r="B39" s="310">
        <v>2672.96</v>
      </c>
      <c r="C39" s="310">
        <v>0.01</v>
      </c>
      <c r="D39" s="310">
        <v>437.77</v>
      </c>
      <c r="E39" s="310">
        <v>7046.36</v>
      </c>
      <c r="F39" s="310">
        <v>6182.69</v>
      </c>
      <c r="G39" s="310">
        <v>3354.16</v>
      </c>
      <c r="H39" s="310">
        <v>3000.6</v>
      </c>
      <c r="I39" s="310">
        <v>725.91</v>
      </c>
      <c r="J39" s="310">
        <f>11.79+164.5+130.43</f>
        <v>306.72000000000003</v>
      </c>
      <c r="K39" s="310">
        <f t="shared" si="3"/>
        <v>23727.18</v>
      </c>
      <c r="L39" s="310">
        <v>88.02</v>
      </c>
      <c r="M39" s="310">
        <v>20.49</v>
      </c>
      <c r="N39" s="310">
        <v>7.9</v>
      </c>
      <c r="O39" s="310">
        <v>1215.73</v>
      </c>
      <c r="P39" s="320" t="s">
        <v>581</v>
      </c>
    </row>
    <row r="40" spans="1:16" s="168" customFormat="1" ht="12" customHeight="1">
      <c r="A40" s="250" t="s">
        <v>573</v>
      </c>
      <c r="B40" s="268">
        <v>3238.67</v>
      </c>
      <c r="C40" s="268">
        <v>0.02</v>
      </c>
      <c r="D40" s="268">
        <v>469.06</v>
      </c>
      <c r="E40" s="268">
        <v>10648.56</v>
      </c>
      <c r="F40" s="268">
        <v>6626.98</v>
      </c>
      <c r="G40" s="268">
        <v>4064.04</v>
      </c>
      <c r="H40" s="268">
        <v>3215.07</v>
      </c>
      <c r="I40" s="268">
        <v>879.54</v>
      </c>
      <c r="J40" s="268">
        <f>12.64+176.25+140.68</f>
        <v>329.57</v>
      </c>
      <c r="K40" s="268">
        <f t="shared" si="3"/>
        <v>29471.510000000002</v>
      </c>
      <c r="L40" s="268">
        <v>74.7</v>
      </c>
      <c r="M40" s="268">
        <v>13.95</v>
      </c>
      <c r="N40" s="268">
        <v>11.9</v>
      </c>
      <c r="O40" s="268">
        <v>1324.02</v>
      </c>
      <c r="P40" s="215" t="s">
        <v>573</v>
      </c>
    </row>
    <row r="41" spans="1:16" s="168" customFormat="1" ht="12" customHeight="1">
      <c r="A41" s="609" t="s">
        <v>582</v>
      </c>
      <c r="B41" s="310">
        <v>2707.86</v>
      </c>
      <c r="C41" s="310">
        <v>0.01</v>
      </c>
      <c r="D41" s="310">
        <v>480.64</v>
      </c>
      <c r="E41" s="310">
        <v>6679.19</v>
      </c>
      <c r="F41" s="310">
        <v>6790.6</v>
      </c>
      <c r="G41" s="310">
        <v>3397.96</v>
      </c>
      <c r="H41" s="310">
        <v>3294.45</v>
      </c>
      <c r="I41" s="310">
        <v>735.39</v>
      </c>
      <c r="J41" s="310">
        <f>12.95+180.6+151.89</f>
        <v>345.43999999999994</v>
      </c>
      <c r="K41" s="310">
        <f>SUM(B41:J41)</f>
        <v>24431.54</v>
      </c>
      <c r="L41" s="310">
        <v>70.930000000000007</v>
      </c>
      <c r="M41" s="310">
        <v>9.06</v>
      </c>
      <c r="N41" s="310">
        <v>8.25</v>
      </c>
      <c r="O41" s="310">
        <v>866.4</v>
      </c>
      <c r="P41" s="320" t="s">
        <v>582</v>
      </c>
    </row>
    <row r="42" spans="1:16" s="168" customFormat="1" ht="12" customHeight="1">
      <c r="A42" s="250" t="s">
        <v>583</v>
      </c>
      <c r="B42" s="268">
        <v>3729.89</v>
      </c>
      <c r="C42" s="268">
        <v>0.01</v>
      </c>
      <c r="D42" s="268">
        <v>521.91999999999996</v>
      </c>
      <c r="E42" s="268">
        <v>10793.52</v>
      </c>
      <c r="F42" s="268">
        <v>7371.16</v>
      </c>
      <c r="G42" s="268">
        <v>4683.45</v>
      </c>
      <c r="H42" s="268">
        <v>3577.39</v>
      </c>
      <c r="I42" s="268">
        <v>1012.95</v>
      </c>
      <c r="J42" s="268">
        <f>14.07+196.12+107.68</f>
        <v>317.87</v>
      </c>
      <c r="K42" s="268">
        <f>SUM(B42:J42)</f>
        <v>32008.16</v>
      </c>
      <c r="L42" s="268">
        <v>95.07</v>
      </c>
      <c r="M42" s="268">
        <v>11.86</v>
      </c>
      <c r="N42" s="268">
        <v>7.38</v>
      </c>
      <c r="O42" s="268">
        <v>1353.83</v>
      </c>
      <c r="P42" s="215" t="s">
        <v>583</v>
      </c>
    </row>
    <row r="43" spans="1:16" s="168" customFormat="1" ht="12" customHeight="1">
      <c r="A43" s="609" t="s">
        <v>574</v>
      </c>
      <c r="B43" s="310">
        <v>3595.78</v>
      </c>
      <c r="C43" s="310">
        <v>0.01</v>
      </c>
      <c r="D43" s="310">
        <v>231.31</v>
      </c>
      <c r="E43" s="310">
        <v>24161.05</v>
      </c>
      <c r="F43" s="310">
        <v>10500.23</v>
      </c>
      <c r="G43" s="310">
        <v>4512.17</v>
      </c>
      <c r="H43" s="310">
        <v>4489.76</v>
      </c>
      <c r="I43" s="310">
        <v>976.53</v>
      </c>
      <c r="J43" s="310">
        <f>0.07+344.92+226.14</f>
        <v>571.13</v>
      </c>
      <c r="K43" s="310">
        <f>SUM(B43:J43)</f>
        <v>49037.97</v>
      </c>
      <c r="L43" s="310">
        <v>127.89</v>
      </c>
      <c r="M43" s="310">
        <v>15.16</v>
      </c>
      <c r="N43" s="310">
        <v>112.13</v>
      </c>
      <c r="O43" s="310">
        <v>1864.36</v>
      </c>
      <c r="P43" s="320" t="s">
        <v>574</v>
      </c>
    </row>
    <row r="44" spans="1:16" s="168" customFormat="1" ht="12" customHeight="1">
      <c r="A44" s="105" t="s">
        <v>2514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489" t="s">
        <v>2514</v>
      </c>
    </row>
    <row r="45" spans="1:16" s="168" customFormat="1" ht="12" customHeight="1">
      <c r="A45" s="609" t="s">
        <v>576</v>
      </c>
      <c r="B45" s="310">
        <v>3038.51</v>
      </c>
      <c r="C45" s="310">
        <v>0</v>
      </c>
      <c r="D45" s="310">
        <v>143.68</v>
      </c>
      <c r="E45" s="310">
        <v>5160.04</v>
      </c>
      <c r="F45" s="310">
        <v>5904.89</v>
      </c>
      <c r="G45" s="310">
        <v>3772.44</v>
      </c>
      <c r="H45" s="310">
        <v>1552.89</v>
      </c>
      <c r="I45" s="310">
        <v>845</v>
      </c>
      <c r="J45" s="310">
        <f>0.02+52.6+105.68</f>
        <v>158.30000000000001</v>
      </c>
      <c r="K45" s="310">
        <f>SUM(B45:J45)</f>
        <v>20575.749999999996</v>
      </c>
      <c r="L45" s="310">
        <v>74.92</v>
      </c>
      <c r="M45" s="310">
        <v>5.93</v>
      </c>
      <c r="N45" s="310">
        <v>7.22</v>
      </c>
      <c r="O45" s="310">
        <v>1059.07</v>
      </c>
      <c r="P45" s="320" t="s">
        <v>576</v>
      </c>
    </row>
    <row r="46" spans="1:16" s="168" customFormat="1" ht="12" customHeight="1">
      <c r="A46" s="250" t="s">
        <v>577</v>
      </c>
      <c r="B46" s="268">
        <v>3393.78</v>
      </c>
      <c r="C46" s="268">
        <v>0</v>
      </c>
      <c r="D46" s="268">
        <v>145.56</v>
      </c>
      <c r="E46" s="268">
        <v>6695.89</v>
      </c>
      <c r="F46" s="268">
        <v>6920.34</v>
      </c>
      <c r="G46" s="268">
        <v>4189.13</v>
      </c>
      <c r="H46" s="268">
        <v>3131.37</v>
      </c>
      <c r="I46" s="268">
        <v>917.37</v>
      </c>
      <c r="J46" s="268">
        <f>0.27+91.58+159.23</f>
        <v>251.07999999999998</v>
      </c>
      <c r="K46" s="268">
        <f>SUM(B46:J46)</f>
        <v>25644.52</v>
      </c>
      <c r="L46" s="268">
        <v>92.12</v>
      </c>
      <c r="M46" s="268">
        <v>7.94</v>
      </c>
      <c r="N46" s="268">
        <v>7.15</v>
      </c>
      <c r="O46" s="268">
        <v>1401.42</v>
      </c>
      <c r="P46" s="215" t="s">
        <v>577</v>
      </c>
    </row>
    <row r="47" spans="1:16" s="168" customFormat="1" ht="12" customHeight="1">
      <c r="A47" s="609" t="s">
        <v>571</v>
      </c>
      <c r="B47" s="310">
        <v>3226.9</v>
      </c>
      <c r="C47" s="310">
        <v>0.01</v>
      </c>
      <c r="D47" s="310">
        <v>157.62</v>
      </c>
      <c r="E47" s="310">
        <v>11359.42</v>
      </c>
      <c r="F47" s="310">
        <v>7383.59</v>
      </c>
      <c r="G47" s="310">
        <v>3972.05</v>
      </c>
      <c r="H47" s="310">
        <v>3424.65</v>
      </c>
      <c r="I47" s="310">
        <v>775.2</v>
      </c>
      <c r="J47" s="310">
        <f>0.06+73.3+180.89</f>
        <v>254.25</v>
      </c>
      <c r="K47" s="310">
        <f>SUM(B47:J47)</f>
        <v>30553.690000000002</v>
      </c>
      <c r="L47" s="310">
        <v>78.34</v>
      </c>
      <c r="M47" s="310">
        <v>7.67</v>
      </c>
      <c r="N47" s="310">
        <v>7.54</v>
      </c>
      <c r="O47" s="310">
        <v>1158.97</v>
      </c>
      <c r="P47" s="320" t="s">
        <v>571</v>
      </c>
    </row>
    <row r="48" spans="1:16" s="168" customFormat="1" ht="12" customHeight="1">
      <c r="A48" s="250" t="s">
        <v>578</v>
      </c>
      <c r="B48" s="268">
        <v>3382.32</v>
      </c>
      <c r="C48" s="268">
        <v>0</v>
      </c>
      <c r="D48" s="268">
        <v>158.47</v>
      </c>
      <c r="E48" s="268">
        <v>7444.65</v>
      </c>
      <c r="F48" s="268">
        <v>7784.97</v>
      </c>
      <c r="G48" s="268">
        <v>4220.22</v>
      </c>
      <c r="H48" s="268">
        <v>3039.61</v>
      </c>
      <c r="I48" s="268">
        <v>937.03</v>
      </c>
      <c r="J48" s="268">
        <f>0.001+83.15+173.36</f>
        <v>256.51100000000002</v>
      </c>
      <c r="K48" s="268">
        <f>SUM(B48:J48)</f>
        <v>27223.780999999999</v>
      </c>
      <c r="L48" s="268">
        <v>84.55</v>
      </c>
      <c r="M48" s="268">
        <v>8.3000000000000007</v>
      </c>
      <c r="N48" s="268" t="s">
        <v>298</v>
      </c>
      <c r="O48" s="268">
        <v>1137.2</v>
      </c>
      <c r="P48" s="215" t="s">
        <v>578</v>
      </c>
    </row>
    <row r="49" spans="1:16" s="168" customFormat="1" ht="12" customHeight="1">
      <c r="A49" s="609" t="s">
        <v>579</v>
      </c>
      <c r="B49" s="310">
        <v>3354.53</v>
      </c>
      <c r="C49" s="310">
        <v>0</v>
      </c>
      <c r="D49" s="310">
        <v>148.82</v>
      </c>
      <c r="E49" s="310">
        <v>7897.73</v>
      </c>
      <c r="F49" s="310">
        <v>8150.99</v>
      </c>
      <c r="G49" s="310">
        <v>4398.3500000000004</v>
      </c>
      <c r="H49" s="310">
        <v>3082.13</v>
      </c>
      <c r="I49" s="310">
        <v>1018.2</v>
      </c>
      <c r="J49" s="310">
        <f>0+92.92+207.87</f>
        <v>300.79000000000002</v>
      </c>
      <c r="K49" s="310">
        <f>SUM(B49:J49)</f>
        <v>28351.54</v>
      </c>
      <c r="L49" s="310">
        <v>82.22</v>
      </c>
      <c r="M49" s="310">
        <v>11.14</v>
      </c>
      <c r="N49" s="310" t="s">
        <v>298</v>
      </c>
      <c r="O49" s="310">
        <v>1379.5</v>
      </c>
      <c r="P49" s="320" t="s">
        <v>579</v>
      </c>
    </row>
    <row r="50" spans="1:16" s="168" customFormat="1" ht="12" customHeight="1">
      <c r="A50" s="250" t="s">
        <v>572</v>
      </c>
      <c r="B50" s="268">
        <v>2975.63</v>
      </c>
      <c r="C50" s="268">
        <v>0</v>
      </c>
      <c r="D50" s="268">
        <v>2257.41</v>
      </c>
      <c r="E50" s="268">
        <v>12231.98</v>
      </c>
      <c r="F50" s="268">
        <v>8208.4</v>
      </c>
      <c r="G50" s="268">
        <v>3782.91</v>
      </c>
      <c r="H50" s="268">
        <v>2673.27</v>
      </c>
      <c r="I50" s="268">
        <v>868.95</v>
      </c>
      <c r="J50" s="268">
        <f>0.03+74.6+207.28</f>
        <v>281.90999999999997</v>
      </c>
      <c r="K50" s="268">
        <f>B50+C50+D50+E50+F50+G50+H50+I50+J50</f>
        <v>33280.46</v>
      </c>
      <c r="L50" s="268">
        <v>80.08</v>
      </c>
      <c r="M50" s="268">
        <v>11.47</v>
      </c>
      <c r="N50" s="268" t="s">
        <v>298</v>
      </c>
      <c r="O50" s="268">
        <v>1310.52</v>
      </c>
      <c r="P50" s="215" t="s">
        <v>572</v>
      </c>
    </row>
    <row r="51" spans="1:16" s="168" customFormat="1" ht="12" customHeight="1" thickBot="1">
      <c r="A51" s="2550" t="s">
        <v>580</v>
      </c>
      <c r="B51" s="497">
        <v>3156.35</v>
      </c>
      <c r="C51" s="497">
        <v>0.01</v>
      </c>
      <c r="D51" s="497">
        <v>2067.3000000000002</v>
      </c>
      <c r="E51" s="497">
        <v>11050.52</v>
      </c>
      <c r="F51" s="497">
        <v>7854.72</v>
      </c>
      <c r="G51" s="497">
        <v>4291.41</v>
      </c>
      <c r="H51" s="497">
        <v>2495.7800000000002</v>
      </c>
      <c r="I51" s="497">
        <v>1024.22</v>
      </c>
      <c r="J51" s="497">
        <f>0.04+69.21+199.81</f>
        <v>269.06</v>
      </c>
      <c r="K51" s="497">
        <f>B51+C51+D51+E51+F51+G51+H51+I51+J51</f>
        <v>32209.370000000003</v>
      </c>
      <c r="L51" s="497"/>
      <c r="M51" s="497"/>
      <c r="N51" s="497"/>
      <c r="O51" s="497"/>
      <c r="P51" s="1725" t="s">
        <v>580</v>
      </c>
    </row>
    <row r="52" spans="1:16" s="8" customFormat="1">
      <c r="A52" s="120" t="s">
        <v>2226</v>
      </c>
      <c r="B52" s="90"/>
      <c r="C52" s="90"/>
      <c r="D52" s="90"/>
      <c r="E52" s="90"/>
      <c r="F52" s="675"/>
      <c r="G52" s="675"/>
      <c r="H52" s="9"/>
      <c r="I52" s="9"/>
      <c r="O52" s="90"/>
      <c r="P52" s="90"/>
    </row>
    <row r="53" spans="1:16">
      <c r="A53" s="90" t="s">
        <v>2225</v>
      </c>
      <c r="B53" s="90"/>
      <c r="E53" s="33"/>
      <c r="F53" s="33"/>
      <c r="G53" s="8"/>
      <c r="H53" s="33"/>
      <c r="I53" s="8"/>
      <c r="O53" s="90"/>
      <c r="P53" s="90"/>
    </row>
    <row r="54" spans="1:16">
      <c r="B54" s="496"/>
      <c r="C54" s="496"/>
      <c r="D54" s="496"/>
      <c r="E54" s="496"/>
      <c r="F54" s="88"/>
      <c r="G54" s="496"/>
      <c r="H54" s="496"/>
      <c r="I54" s="496"/>
      <c r="J54" s="496"/>
      <c r="K54" s="496"/>
      <c r="M54" s="268"/>
    </row>
    <row r="55" spans="1:16">
      <c r="F55" s="88"/>
      <c r="J55" s="496"/>
      <c r="K55" s="268"/>
      <c r="M55" s="496"/>
    </row>
    <row r="56" spans="1:16">
      <c r="F56" s="88"/>
      <c r="J56" s="496"/>
      <c r="K56" s="268"/>
      <c r="L56" s="496"/>
      <c r="M56" s="496"/>
    </row>
    <row r="57" spans="1:16">
      <c r="B57" s="496"/>
      <c r="C57" s="496"/>
      <c r="D57" s="496"/>
      <c r="E57" s="496"/>
      <c r="F57" s="88"/>
      <c r="G57" s="496"/>
      <c r="H57" s="496"/>
      <c r="I57" s="496"/>
      <c r="J57" s="496"/>
      <c r="K57" s="268"/>
      <c r="L57" s="496"/>
      <c r="M57" s="496"/>
    </row>
    <row r="58" spans="1:16">
      <c r="B58" s="496"/>
      <c r="C58" s="496"/>
      <c r="D58" s="496"/>
      <c r="E58" s="496"/>
      <c r="F58" s="88"/>
      <c r="G58" s="496"/>
      <c r="H58" s="496"/>
      <c r="I58" s="496"/>
      <c r="J58" s="496"/>
      <c r="K58" s="268"/>
      <c r="L58" s="496"/>
      <c r="M58" s="496"/>
    </row>
    <row r="59" spans="1:16">
      <c r="F59" s="88"/>
      <c r="J59" s="496"/>
      <c r="K59" s="268"/>
      <c r="L59" s="496"/>
      <c r="M59" s="496"/>
    </row>
    <row r="60" spans="1:16">
      <c r="F60" s="88"/>
      <c r="J60" s="496"/>
      <c r="K60" s="268"/>
      <c r="L60" s="496"/>
      <c r="M60" s="496"/>
    </row>
    <row r="61" spans="1:16">
      <c r="F61" s="88"/>
      <c r="K61" s="268"/>
      <c r="L61" s="496"/>
      <c r="M61" s="496"/>
    </row>
    <row r="62" spans="1:16">
      <c r="B62" s="496"/>
      <c r="C62" s="496"/>
      <c r="D62" s="496"/>
      <c r="E62" s="496"/>
      <c r="F62" s="88"/>
      <c r="G62" s="496"/>
      <c r="H62" s="496"/>
      <c r="I62" s="496"/>
      <c r="J62" s="496"/>
      <c r="K62" s="268"/>
      <c r="L62" s="496"/>
    </row>
    <row r="63" spans="1:16">
      <c r="B63" s="496"/>
      <c r="C63" s="496"/>
      <c r="D63" s="496"/>
      <c r="E63" s="496"/>
      <c r="F63" s="496"/>
      <c r="G63" s="496"/>
      <c r="H63" s="496"/>
      <c r="I63" s="496"/>
      <c r="J63" s="496"/>
      <c r="K63" s="268"/>
      <c r="L63" s="496"/>
    </row>
    <row r="64" spans="1:16">
      <c r="B64" s="496"/>
      <c r="C64" s="496"/>
      <c r="D64" s="496"/>
      <c r="E64" s="496"/>
      <c r="F64" s="496"/>
      <c r="G64" s="496"/>
      <c r="H64" s="496"/>
      <c r="I64" s="496"/>
      <c r="J64" s="496"/>
      <c r="K64" s="268"/>
      <c r="L64" s="496"/>
    </row>
    <row r="65" spans="2:12"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</row>
    <row r="66" spans="2:12">
      <c r="B66" s="496"/>
      <c r="C66" s="496"/>
      <c r="D66" s="496"/>
      <c r="E66" s="496"/>
      <c r="F66" s="496"/>
      <c r="G66" s="496"/>
      <c r="H66" s="496"/>
      <c r="I66" s="496"/>
      <c r="J66" s="496"/>
      <c r="K66" s="496"/>
    </row>
    <row r="67" spans="2:12">
      <c r="B67" s="496"/>
      <c r="C67" s="496"/>
      <c r="D67" s="496"/>
      <c r="E67" s="496"/>
      <c r="F67" s="496"/>
      <c r="G67" s="496"/>
      <c r="H67" s="496"/>
      <c r="I67" s="496"/>
      <c r="J67" s="496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70"/>
  <sheetViews>
    <sheetView topLeftCell="A4" zoomScale="120" zoomScaleNormal="120" workbookViewId="0">
      <selection activeCell="A23" sqref="A23:XFD23"/>
    </sheetView>
  </sheetViews>
  <sheetFormatPr defaultColWidth="8.85546875" defaultRowHeight="15"/>
  <cols>
    <col min="1" max="1" width="8.140625" style="732" customWidth="1"/>
    <col min="2" max="2" width="8.42578125" style="732" customWidth="1"/>
    <col min="3" max="3" width="10.42578125" style="732" customWidth="1"/>
    <col min="4" max="4" width="8.42578125" style="732" customWidth="1"/>
    <col min="5" max="5" width="9.85546875" style="732" bestFit="1" customWidth="1"/>
    <col min="6" max="6" width="8" style="732" customWidth="1"/>
    <col min="7" max="7" width="9.28515625" style="732" customWidth="1"/>
    <col min="8" max="8" width="10.28515625" style="732" customWidth="1"/>
    <col min="9" max="9" width="9.7109375" style="732" customWidth="1"/>
    <col min="10" max="10" width="11" style="732" customWidth="1"/>
    <col min="11" max="11" width="8" style="732" customWidth="1"/>
    <col min="12" max="12" width="9" style="732" customWidth="1"/>
    <col min="13" max="13" width="7.28515625" style="732" customWidth="1"/>
    <col min="14" max="14" width="7.85546875" style="732" customWidth="1"/>
    <col min="15" max="15" width="5.28515625" style="732" customWidth="1"/>
    <col min="16" max="16" width="7.85546875" style="732" customWidth="1"/>
    <col min="17" max="17" width="7.42578125" style="732" customWidth="1"/>
    <col min="18" max="18" width="8.140625" style="732" customWidth="1"/>
    <col min="19" max="19" width="9.7109375" style="732" bestFit="1" customWidth="1"/>
    <col min="20" max="16384" width="8.85546875" style="732"/>
  </cols>
  <sheetData>
    <row r="1" spans="1:19" s="730" customFormat="1" ht="17.45" customHeight="1">
      <c r="A1" s="729"/>
      <c r="G1" s="2492" t="s">
        <v>2062</v>
      </c>
      <c r="H1" s="2492"/>
      <c r="I1" s="2492"/>
      <c r="J1" s="739" t="s">
        <v>1500</v>
      </c>
      <c r="K1" s="740"/>
      <c r="L1" s="731"/>
      <c r="M1" s="731"/>
      <c r="R1" s="2482" t="s">
        <v>1634</v>
      </c>
      <c r="S1" s="2482"/>
    </row>
    <row r="2" spans="1:19" ht="15" customHeight="1">
      <c r="C2" s="733"/>
      <c r="R2" s="2483" t="s">
        <v>24</v>
      </c>
      <c r="S2" s="2483"/>
    </row>
    <row r="3" spans="1:19" ht="13.9" customHeight="1">
      <c r="A3" s="2493" t="s">
        <v>492</v>
      </c>
      <c r="B3" s="2484" t="s">
        <v>499</v>
      </c>
      <c r="C3" s="2484" t="s">
        <v>1491</v>
      </c>
      <c r="D3" s="2486" t="s">
        <v>1484</v>
      </c>
      <c r="E3" s="2486"/>
      <c r="F3" s="2486"/>
      <c r="G3" s="2488" t="s">
        <v>1471</v>
      </c>
      <c r="H3" s="2489" t="s">
        <v>1485</v>
      </c>
      <c r="I3" s="2490"/>
      <c r="J3" s="2490"/>
      <c r="K3" s="2490"/>
      <c r="L3" s="2491"/>
      <c r="M3" s="2488" t="s">
        <v>1509</v>
      </c>
      <c r="N3" s="2488" t="s">
        <v>1510</v>
      </c>
      <c r="O3" s="2488" t="s">
        <v>1472</v>
      </c>
      <c r="P3" s="2487" t="s">
        <v>1473</v>
      </c>
      <c r="Q3" s="2488" t="s">
        <v>1474</v>
      </c>
      <c r="R3" s="2488" t="s">
        <v>1475</v>
      </c>
      <c r="S3" s="2488" t="s">
        <v>1476</v>
      </c>
    </row>
    <row r="4" spans="1:19" ht="90.75" customHeight="1">
      <c r="A4" s="2493"/>
      <c r="B4" s="2485"/>
      <c r="C4" s="2485"/>
      <c r="D4" s="1158" t="s">
        <v>1492</v>
      </c>
      <c r="E4" s="1158" t="s">
        <v>1490</v>
      </c>
      <c r="F4" s="1230" t="s">
        <v>1488</v>
      </c>
      <c r="G4" s="2488"/>
      <c r="H4" s="1158" t="s">
        <v>120</v>
      </c>
      <c r="I4" s="1158" t="s">
        <v>1501</v>
      </c>
      <c r="J4" s="1158" t="s">
        <v>1508</v>
      </c>
      <c r="K4" s="1158" t="s">
        <v>1633</v>
      </c>
      <c r="L4" s="1158" t="s">
        <v>1489</v>
      </c>
      <c r="M4" s="2488"/>
      <c r="N4" s="2488"/>
      <c r="O4" s="2488"/>
      <c r="P4" s="2487"/>
      <c r="Q4" s="2488"/>
      <c r="R4" s="2488"/>
      <c r="S4" s="2488"/>
    </row>
    <row r="5" spans="1:19" ht="17.25" customHeight="1">
      <c r="A5" s="2493"/>
      <c r="B5" s="738">
        <v>1</v>
      </c>
      <c r="C5" s="738">
        <v>2</v>
      </c>
      <c r="D5" s="738">
        <v>3</v>
      </c>
      <c r="E5" s="738">
        <v>4</v>
      </c>
      <c r="F5" s="738">
        <v>5</v>
      </c>
      <c r="G5" s="738">
        <v>6</v>
      </c>
      <c r="H5" s="738">
        <v>7</v>
      </c>
      <c r="I5" s="738">
        <v>8</v>
      </c>
      <c r="J5" s="738">
        <v>9</v>
      </c>
      <c r="K5" s="738">
        <v>10</v>
      </c>
      <c r="L5" s="738">
        <v>11</v>
      </c>
      <c r="M5" s="738">
        <v>12</v>
      </c>
      <c r="N5" s="738">
        <v>13</v>
      </c>
      <c r="O5" s="738">
        <v>14</v>
      </c>
      <c r="P5" s="738">
        <v>15</v>
      </c>
      <c r="Q5" s="738">
        <v>16</v>
      </c>
      <c r="R5" s="738">
        <v>17</v>
      </c>
      <c r="S5" s="738">
        <v>18</v>
      </c>
    </row>
    <row r="6" spans="1:19" ht="11.25" customHeight="1">
      <c r="A6" s="1317" t="s">
        <v>1392</v>
      </c>
      <c r="B6" s="1316">
        <v>253510</v>
      </c>
      <c r="C6" s="1316">
        <v>7347.2</v>
      </c>
      <c r="D6" s="1316">
        <v>22375.9</v>
      </c>
      <c r="E6" s="1316">
        <v>9706.7000000000007</v>
      </c>
      <c r="F6" s="1316">
        <v>12669.2</v>
      </c>
      <c r="G6" s="1316">
        <v>5756.5</v>
      </c>
      <c r="H6" s="1316">
        <v>153411.20000000001</v>
      </c>
      <c r="I6" s="1316">
        <v>78799.199999999997</v>
      </c>
      <c r="J6" s="1316">
        <v>3.3</v>
      </c>
      <c r="K6" s="1316">
        <v>0</v>
      </c>
      <c r="L6" s="1316">
        <v>232213.7</v>
      </c>
      <c r="M6" s="1316">
        <v>345.5</v>
      </c>
      <c r="N6" s="1316">
        <v>0</v>
      </c>
      <c r="O6" s="1316">
        <v>0</v>
      </c>
      <c r="P6" s="1316">
        <v>0</v>
      </c>
      <c r="Q6" s="1316">
        <v>0</v>
      </c>
      <c r="R6" s="1316">
        <v>30308.5</v>
      </c>
      <c r="S6" s="1316">
        <v>16415.2</v>
      </c>
    </row>
    <row r="7" spans="1:19" ht="11.25" customHeight="1">
      <c r="A7" s="1394" t="s">
        <v>1511</v>
      </c>
      <c r="B7" s="1395">
        <v>257195.6</v>
      </c>
      <c r="C7" s="1395">
        <v>7031.1</v>
      </c>
      <c r="D7" s="1395">
        <v>32153.4</v>
      </c>
      <c r="E7" s="1395">
        <v>10645.9</v>
      </c>
      <c r="F7" s="1395">
        <v>21507.5</v>
      </c>
      <c r="G7" s="1395">
        <v>5537.7</v>
      </c>
      <c r="H7" s="1395">
        <v>168858.3</v>
      </c>
      <c r="I7" s="1395">
        <v>75787.5</v>
      </c>
      <c r="J7" s="1395">
        <v>13.1</v>
      </c>
      <c r="K7" s="1395">
        <v>0</v>
      </c>
      <c r="L7" s="1395">
        <v>244658.9</v>
      </c>
      <c r="M7" s="1395">
        <v>411.8</v>
      </c>
      <c r="N7" s="1395">
        <v>0</v>
      </c>
      <c r="O7" s="1395">
        <v>0</v>
      </c>
      <c r="P7" s="1395">
        <v>0</v>
      </c>
      <c r="Q7" s="1395">
        <v>0</v>
      </c>
      <c r="R7" s="1395">
        <v>33548.6</v>
      </c>
      <c r="S7" s="1395">
        <v>12652.6</v>
      </c>
    </row>
    <row r="8" spans="1:19" s="907" customFormat="1" ht="11.25" customHeight="1">
      <c r="A8" s="1317" t="s">
        <v>1602</v>
      </c>
      <c r="B8" s="1161">
        <v>286040.90000000002</v>
      </c>
      <c r="C8" s="1161">
        <v>15922.6</v>
      </c>
      <c r="D8" s="1161">
        <v>47201.9</v>
      </c>
      <c r="E8" s="1161">
        <v>14955.8</v>
      </c>
      <c r="F8" s="1161">
        <v>32246.100000000002</v>
      </c>
      <c r="G8" s="1161">
        <v>5752</v>
      </c>
      <c r="H8" s="1161">
        <v>206552.2</v>
      </c>
      <c r="I8" s="1161">
        <v>76360.399999999994</v>
      </c>
      <c r="J8" s="1161">
        <v>28.9</v>
      </c>
      <c r="K8" s="1161">
        <v>0</v>
      </c>
      <c r="L8" s="1161">
        <v>282941.5</v>
      </c>
      <c r="M8" s="1161">
        <v>1272.5</v>
      </c>
      <c r="N8" s="1161">
        <v>0</v>
      </c>
      <c r="O8" s="1161">
        <v>0</v>
      </c>
      <c r="P8" s="1161">
        <v>0</v>
      </c>
      <c r="Q8" s="1161">
        <v>0</v>
      </c>
      <c r="R8" s="1161">
        <v>36493.599999999999</v>
      </c>
      <c r="S8" s="1161">
        <v>19254</v>
      </c>
    </row>
    <row r="9" spans="1:19" s="907" customFormat="1" ht="11.25" customHeight="1">
      <c r="A9" s="1318" t="s">
        <v>1668</v>
      </c>
      <c r="B9" s="1162">
        <v>366917.3</v>
      </c>
      <c r="C9" s="1162">
        <v>22091.200000000001</v>
      </c>
      <c r="D9" s="1162">
        <v>33870.800000000003</v>
      </c>
      <c r="E9" s="1162">
        <v>25244.5</v>
      </c>
      <c r="F9" s="1162">
        <v>8626.3000000000029</v>
      </c>
      <c r="G9" s="1162">
        <v>5935.6</v>
      </c>
      <c r="H9" s="1162">
        <v>225322.2</v>
      </c>
      <c r="I9" s="1162">
        <v>121126</v>
      </c>
      <c r="J9" s="1162">
        <v>57.5</v>
      </c>
      <c r="K9" s="1162">
        <v>0</v>
      </c>
      <c r="L9" s="1162">
        <v>346505.7</v>
      </c>
      <c r="M9" s="1162">
        <v>1529.9</v>
      </c>
      <c r="N9" s="1162">
        <v>0</v>
      </c>
      <c r="O9" s="1162">
        <v>0</v>
      </c>
      <c r="P9" s="1162">
        <v>0</v>
      </c>
      <c r="Q9" s="1162">
        <v>0</v>
      </c>
      <c r="R9" s="1162">
        <v>43524.7</v>
      </c>
      <c r="S9" s="1162">
        <v>12010.1</v>
      </c>
    </row>
    <row r="10" spans="1:19" s="907" customFormat="1" ht="11.25" customHeight="1">
      <c r="A10" s="1319" t="s">
        <v>2018</v>
      </c>
      <c r="B10" s="1159">
        <f>B22</f>
        <v>347746.8</v>
      </c>
      <c r="C10" s="1159">
        <f t="shared" ref="C10:S10" si="0">C22</f>
        <v>19369.2</v>
      </c>
      <c r="D10" s="1159">
        <f t="shared" si="0"/>
        <v>58719.3</v>
      </c>
      <c r="E10" s="1159">
        <f t="shared" si="0"/>
        <v>13785.7</v>
      </c>
      <c r="F10" s="1159">
        <f t="shared" si="0"/>
        <v>44933.600000000006</v>
      </c>
      <c r="G10" s="1159">
        <f t="shared" si="0"/>
        <v>6093.7</v>
      </c>
      <c r="H10" s="1159">
        <f t="shared" si="0"/>
        <v>254519.5</v>
      </c>
      <c r="I10" s="1159">
        <f t="shared" si="0"/>
        <v>90931.1</v>
      </c>
      <c r="J10" s="1159">
        <f t="shared" si="0"/>
        <v>48.2</v>
      </c>
      <c r="K10" s="1159">
        <f t="shared" si="0"/>
        <v>0</v>
      </c>
      <c r="L10" s="1159">
        <f t="shared" si="0"/>
        <v>345498.8</v>
      </c>
      <c r="M10" s="1159">
        <f t="shared" si="0"/>
        <v>1321.7</v>
      </c>
      <c r="N10" s="1159">
        <f t="shared" si="0"/>
        <v>0</v>
      </c>
      <c r="O10" s="1159">
        <f t="shared" si="0"/>
        <v>0</v>
      </c>
      <c r="P10" s="1159">
        <f t="shared" si="0"/>
        <v>0</v>
      </c>
      <c r="Q10" s="1159">
        <f t="shared" si="0"/>
        <v>0</v>
      </c>
      <c r="R10" s="1159">
        <f t="shared" si="0"/>
        <v>62830.400000000001</v>
      </c>
      <c r="S10" s="1159">
        <f t="shared" si="0"/>
        <v>8492.4</v>
      </c>
    </row>
    <row r="11" spans="1:19" s="907" customFormat="1" ht="11.25" customHeight="1">
      <c r="A11" s="905" t="s">
        <v>576</v>
      </c>
      <c r="B11" s="1160">
        <v>369407.4</v>
      </c>
      <c r="C11" s="1160">
        <v>22153.5</v>
      </c>
      <c r="D11" s="1160">
        <v>30308.7</v>
      </c>
      <c r="E11" s="1160">
        <v>26352</v>
      </c>
      <c r="F11" s="1160">
        <f t="shared" ref="F11:F21" si="1">D11-E11</f>
        <v>3956.7000000000007</v>
      </c>
      <c r="G11" s="1160">
        <v>5924.5</v>
      </c>
      <c r="H11" s="1160">
        <v>244502.5</v>
      </c>
      <c r="I11" s="1160">
        <v>103422.8</v>
      </c>
      <c r="J11" s="1160">
        <v>56.6</v>
      </c>
      <c r="K11" s="1160">
        <v>0</v>
      </c>
      <c r="L11" s="1160">
        <f t="shared" ref="L11:L33" si="2">H11+I11+J11+K11</f>
        <v>347981.89999999997</v>
      </c>
      <c r="M11" s="1160">
        <v>912.2</v>
      </c>
      <c r="N11" s="1160">
        <v>0</v>
      </c>
      <c r="O11" s="1160">
        <v>0</v>
      </c>
      <c r="P11" s="1160">
        <v>0</v>
      </c>
      <c r="Q11" s="1160">
        <v>0</v>
      </c>
      <c r="R11" s="1160">
        <v>43678.400000000001</v>
      </c>
      <c r="S11" s="1160">
        <v>8869.6</v>
      </c>
    </row>
    <row r="12" spans="1:19" s="907" customFormat="1" ht="11.25" customHeight="1">
      <c r="A12" s="906" t="s">
        <v>577</v>
      </c>
      <c r="B12" s="1161">
        <v>370194</v>
      </c>
      <c r="C12" s="1161">
        <v>22049.5</v>
      </c>
      <c r="D12" s="1161">
        <v>29387.5</v>
      </c>
      <c r="E12" s="1161">
        <v>35565.9</v>
      </c>
      <c r="F12" s="1161">
        <f t="shared" si="1"/>
        <v>-6178.4000000000015</v>
      </c>
      <c r="G12" s="1161">
        <v>5901.7</v>
      </c>
      <c r="H12" s="1161">
        <v>232100.9</v>
      </c>
      <c r="I12" s="1161">
        <v>92156.4</v>
      </c>
      <c r="J12" s="1161">
        <v>29</v>
      </c>
      <c r="K12" s="1161">
        <v>0</v>
      </c>
      <c r="L12" s="1161">
        <f t="shared" si="2"/>
        <v>324286.3</v>
      </c>
      <c r="M12" s="1161">
        <v>1276.4000000000001</v>
      </c>
      <c r="N12" s="1161">
        <v>0</v>
      </c>
      <c r="O12" s="1161">
        <v>0</v>
      </c>
      <c r="P12" s="1161">
        <v>0</v>
      </c>
      <c r="Q12" s="1161">
        <v>0</v>
      </c>
      <c r="R12" s="1161">
        <v>45470.5</v>
      </c>
      <c r="S12" s="1161">
        <v>20933.599999999999</v>
      </c>
    </row>
    <row r="13" spans="1:19" s="907" customFormat="1" ht="11.25" customHeight="1">
      <c r="A13" s="905" t="s">
        <v>571</v>
      </c>
      <c r="B13" s="1160">
        <v>361731.1</v>
      </c>
      <c r="C13" s="1160">
        <v>21647.1</v>
      </c>
      <c r="D13" s="1160">
        <v>32563</v>
      </c>
      <c r="E13" s="1160">
        <v>35409.300000000003</v>
      </c>
      <c r="F13" s="1160">
        <f t="shared" si="1"/>
        <v>-2846.3000000000029</v>
      </c>
      <c r="G13" s="1160">
        <v>5877.3</v>
      </c>
      <c r="H13" s="1160">
        <v>226089.4</v>
      </c>
      <c r="I13" s="1160">
        <v>95654.399999999994</v>
      </c>
      <c r="J13" s="1160">
        <v>8.1999999999999993</v>
      </c>
      <c r="K13" s="1160">
        <v>0</v>
      </c>
      <c r="L13" s="1160">
        <f t="shared" si="2"/>
        <v>321752</v>
      </c>
      <c r="M13" s="1160">
        <v>1283.3</v>
      </c>
      <c r="N13" s="1160">
        <v>0</v>
      </c>
      <c r="O13" s="1160">
        <v>0</v>
      </c>
      <c r="P13" s="1160">
        <v>0</v>
      </c>
      <c r="Q13" s="1160">
        <v>0</v>
      </c>
      <c r="R13" s="1160">
        <v>45638.400000000001</v>
      </c>
      <c r="S13" s="1160">
        <v>17735.5</v>
      </c>
    </row>
    <row r="14" spans="1:19" s="907" customFormat="1" ht="11.25" customHeight="1">
      <c r="A14" s="906" t="s">
        <v>578</v>
      </c>
      <c r="B14" s="1161">
        <v>358587</v>
      </c>
      <c r="C14" s="1161">
        <v>20697.099999999999</v>
      </c>
      <c r="D14" s="1161">
        <v>32655.5</v>
      </c>
      <c r="E14" s="1161">
        <v>34229</v>
      </c>
      <c r="F14" s="1161">
        <f t="shared" si="1"/>
        <v>-1573.5</v>
      </c>
      <c r="G14" s="1161">
        <v>5877.8</v>
      </c>
      <c r="H14" s="1161">
        <v>224139.1</v>
      </c>
      <c r="I14" s="1161">
        <v>94219.5</v>
      </c>
      <c r="J14" s="1161">
        <v>11</v>
      </c>
      <c r="K14" s="1161">
        <v>0</v>
      </c>
      <c r="L14" s="1161">
        <f t="shared" si="2"/>
        <v>318369.59999999998</v>
      </c>
      <c r="M14" s="1161">
        <v>1211.9000000000001</v>
      </c>
      <c r="N14" s="1161">
        <v>0</v>
      </c>
      <c r="O14" s="1161">
        <v>0</v>
      </c>
      <c r="P14" s="1161">
        <v>0</v>
      </c>
      <c r="Q14" s="1161">
        <v>0</v>
      </c>
      <c r="R14" s="1161">
        <v>47011.4</v>
      </c>
      <c r="S14" s="1161">
        <v>16995.5</v>
      </c>
    </row>
    <row r="15" spans="1:19" s="907" customFormat="1" ht="11.25" customHeight="1">
      <c r="A15" s="905" t="s">
        <v>579</v>
      </c>
      <c r="B15" s="1160">
        <v>352220</v>
      </c>
      <c r="C15" s="1160">
        <v>20523</v>
      </c>
      <c r="D15" s="1160">
        <v>32464.5</v>
      </c>
      <c r="E15" s="1160">
        <v>24929.8</v>
      </c>
      <c r="F15" s="1160">
        <f t="shared" si="1"/>
        <v>7534.7000000000007</v>
      </c>
      <c r="G15" s="1160">
        <v>5862.5</v>
      </c>
      <c r="H15" s="1160">
        <v>225421.6</v>
      </c>
      <c r="I15" s="1160">
        <v>105450.5</v>
      </c>
      <c r="J15" s="1160">
        <v>21.2</v>
      </c>
      <c r="K15" s="1160">
        <v>0</v>
      </c>
      <c r="L15" s="1160">
        <f t="shared" si="2"/>
        <v>330893.3</v>
      </c>
      <c r="M15" s="1160">
        <v>1361.8</v>
      </c>
      <c r="N15" s="1160">
        <v>0</v>
      </c>
      <c r="O15" s="1160">
        <v>0</v>
      </c>
      <c r="P15" s="1160">
        <v>0</v>
      </c>
      <c r="Q15" s="1160">
        <v>0</v>
      </c>
      <c r="R15" s="1160">
        <v>46727.3</v>
      </c>
      <c r="S15" s="1160">
        <v>7157.8</v>
      </c>
    </row>
    <row r="16" spans="1:19" s="907" customFormat="1" ht="11.25" customHeight="1">
      <c r="A16" s="906" t="s">
        <v>572</v>
      </c>
      <c r="B16" s="1161">
        <v>354607.3</v>
      </c>
      <c r="C16" s="1161">
        <v>19514</v>
      </c>
      <c r="D16" s="1161">
        <v>32245.1</v>
      </c>
      <c r="E16" s="1161">
        <v>36917.699999999997</v>
      </c>
      <c r="F16" s="1161">
        <f t="shared" si="1"/>
        <v>-4672.5999999999985</v>
      </c>
      <c r="G16" s="1161">
        <v>5944</v>
      </c>
      <c r="H16" s="1161">
        <v>227883.1</v>
      </c>
      <c r="I16" s="1161">
        <v>94124.4</v>
      </c>
      <c r="J16" s="1161">
        <v>53.7</v>
      </c>
      <c r="K16" s="1161">
        <v>0</v>
      </c>
      <c r="L16" s="1161">
        <f t="shared" si="2"/>
        <v>322061.2</v>
      </c>
      <c r="M16" s="1161">
        <v>1170.9000000000001</v>
      </c>
      <c r="N16" s="1161">
        <v>0</v>
      </c>
      <c r="O16" s="1161">
        <v>0</v>
      </c>
      <c r="P16" s="1161">
        <v>0</v>
      </c>
      <c r="Q16" s="1161">
        <v>0</v>
      </c>
      <c r="R16" s="1161">
        <v>47147.3</v>
      </c>
      <c r="S16" s="1161">
        <v>5013.3</v>
      </c>
    </row>
    <row r="17" spans="1:19" s="907" customFormat="1" ht="11.25" customHeight="1">
      <c r="A17" s="905" t="s">
        <v>580</v>
      </c>
      <c r="B17" s="1160">
        <v>351964.2</v>
      </c>
      <c r="C17" s="1160">
        <v>19282</v>
      </c>
      <c r="D17" s="1160">
        <v>32210.9</v>
      </c>
      <c r="E17" s="1160">
        <v>33232.800000000003</v>
      </c>
      <c r="F17" s="1160">
        <f t="shared" si="1"/>
        <v>-1021.9000000000015</v>
      </c>
      <c r="G17" s="1160">
        <v>5932.2</v>
      </c>
      <c r="H17" s="1160">
        <v>229783.9</v>
      </c>
      <c r="I17" s="1160">
        <v>91827.1</v>
      </c>
      <c r="J17" s="1160">
        <v>73.8</v>
      </c>
      <c r="K17" s="1160">
        <v>0</v>
      </c>
      <c r="L17" s="1160">
        <f t="shared" si="2"/>
        <v>321684.8</v>
      </c>
      <c r="M17" s="1160">
        <v>1552.8</v>
      </c>
      <c r="N17" s="1160">
        <v>0</v>
      </c>
      <c r="O17" s="1160">
        <v>0</v>
      </c>
      <c r="P17" s="1160">
        <v>0</v>
      </c>
      <c r="Q17" s="1160">
        <v>0</v>
      </c>
      <c r="R17" s="1160">
        <v>46965.599999999999</v>
      </c>
      <c r="S17" s="1160">
        <v>5953.3</v>
      </c>
    </row>
    <row r="18" spans="1:19" s="907" customFormat="1" ht="11.25" customHeight="1">
      <c r="A18" s="906" t="s">
        <v>581</v>
      </c>
      <c r="B18" s="1161">
        <v>351813.7</v>
      </c>
      <c r="C18" s="1161">
        <v>18911.2</v>
      </c>
      <c r="D18" s="1161">
        <v>32318.3</v>
      </c>
      <c r="E18" s="1161">
        <v>34254.800000000003</v>
      </c>
      <c r="F18" s="1161">
        <f t="shared" si="1"/>
        <v>-1936.5000000000036</v>
      </c>
      <c r="G18" s="1161">
        <v>5940.9</v>
      </c>
      <c r="H18" s="1161">
        <v>231253.1</v>
      </c>
      <c r="I18" s="1161">
        <v>89403.3</v>
      </c>
      <c r="J18" s="1161">
        <v>7.2</v>
      </c>
      <c r="K18" s="1161">
        <v>0</v>
      </c>
      <c r="L18" s="1161">
        <f t="shared" si="2"/>
        <v>320663.60000000003</v>
      </c>
      <c r="M18" s="1161">
        <v>1414.8</v>
      </c>
      <c r="N18" s="1161">
        <v>0</v>
      </c>
      <c r="O18" s="1161">
        <v>0</v>
      </c>
      <c r="P18" s="1161">
        <v>0</v>
      </c>
      <c r="Q18" s="1161">
        <v>0</v>
      </c>
      <c r="R18" s="1161">
        <v>47406.6</v>
      </c>
      <c r="S18" s="1161">
        <v>5244.3</v>
      </c>
    </row>
    <row r="19" spans="1:19" s="907" customFormat="1" ht="11.25" customHeight="1">
      <c r="A19" s="905" t="s">
        <v>573</v>
      </c>
      <c r="B19" s="1160">
        <v>344757</v>
      </c>
      <c r="C19" s="1160">
        <v>19482.3</v>
      </c>
      <c r="D19" s="1160">
        <v>32001.1</v>
      </c>
      <c r="E19" s="1160">
        <v>28912.799999999999</v>
      </c>
      <c r="F19" s="1160">
        <f t="shared" si="1"/>
        <v>3088.2999999999993</v>
      </c>
      <c r="G19" s="1160">
        <v>5946.5</v>
      </c>
      <c r="H19" s="1160">
        <v>230291.6</v>
      </c>
      <c r="I19" s="1160">
        <v>89215</v>
      </c>
      <c r="J19" s="1160">
        <v>17.399999999999999</v>
      </c>
      <c r="K19" s="1160">
        <v>0</v>
      </c>
      <c r="L19" s="1160">
        <f t="shared" si="2"/>
        <v>319524</v>
      </c>
      <c r="M19" s="1160">
        <v>987.5</v>
      </c>
      <c r="N19" s="1160">
        <v>0</v>
      </c>
      <c r="O19" s="1160">
        <v>0</v>
      </c>
      <c r="P19" s="1160">
        <v>0</v>
      </c>
      <c r="Q19" s="1160">
        <v>0</v>
      </c>
      <c r="R19" s="1160">
        <v>47080.1</v>
      </c>
      <c r="S19" s="1160">
        <v>5682.5</v>
      </c>
    </row>
    <row r="20" spans="1:19" s="907" customFormat="1" ht="11.25" customHeight="1">
      <c r="A20" s="906" t="s">
        <v>582</v>
      </c>
      <c r="B20" s="1161">
        <v>337432.5</v>
      </c>
      <c r="C20" s="1161">
        <v>24310.7</v>
      </c>
      <c r="D20" s="1161">
        <v>38110.800000000003</v>
      </c>
      <c r="E20" s="1161">
        <v>15883</v>
      </c>
      <c r="F20" s="1161">
        <f t="shared" si="1"/>
        <v>22227.800000000003</v>
      </c>
      <c r="G20" s="1161">
        <v>5981.8</v>
      </c>
      <c r="H20" s="1161">
        <v>254121.9</v>
      </c>
      <c r="I20" s="1161">
        <v>84014.399999999994</v>
      </c>
      <c r="J20" s="1161">
        <v>9.6</v>
      </c>
      <c r="K20" s="1161">
        <v>0</v>
      </c>
      <c r="L20" s="1161">
        <f t="shared" si="2"/>
        <v>338145.89999999997</v>
      </c>
      <c r="M20" s="1161">
        <v>1125.0999999999999</v>
      </c>
      <c r="N20" s="1161">
        <v>0</v>
      </c>
      <c r="O20" s="1161">
        <v>0</v>
      </c>
      <c r="P20" s="1161">
        <v>0</v>
      </c>
      <c r="Q20" s="1161">
        <v>0</v>
      </c>
      <c r="R20" s="1161">
        <v>44841.8</v>
      </c>
      <c r="S20" s="1161">
        <v>5840</v>
      </c>
    </row>
    <row r="21" spans="1:19" s="907" customFormat="1" ht="11.25" customHeight="1">
      <c r="A21" s="905" t="s">
        <v>583</v>
      </c>
      <c r="B21" s="1160">
        <v>343399.6</v>
      </c>
      <c r="C21" s="1160">
        <v>25846.799999999999</v>
      </c>
      <c r="D21" s="1160">
        <v>46116</v>
      </c>
      <c r="E21" s="1160">
        <v>28513.9</v>
      </c>
      <c r="F21" s="1160">
        <f t="shared" si="1"/>
        <v>17602.099999999999</v>
      </c>
      <c r="G21" s="1160">
        <v>6002.7</v>
      </c>
      <c r="H21" s="1160">
        <v>243684</v>
      </c>
      <c r="I21" s="1160">
        <v>85473.5</v>
      </c>
      <c r="J21" s="1160">
        <v>20.5</v>
      </c>
      <c r="K21" s="1160">
        <v>0</v>
      </c>
      <c r="L21" s="1160">
        <f t="shared" si="2"/>
        <v>329178</v>
      </c>
      <c r="M21" s="1160">
        <v>1722.6</v>
      </c>
      <c r="N21" s="1160">
        <v>0</v>
      </c>
      <c r="O21" s="1160">
        <v>0</v>
      </c>
      <c r="P21" s="1160">
        <v>0</v>
      </c>
      <c r="Q21" s="1160">
        <v>0</v>
      </c>
      <c r="R21" s="1160">
        <v>56082.2</v>
      </c>
      <c r="S21" s="1160">
        <v>5868.4</v>
      </c>
    </row>
    <row r="22" spans="1:19" s="907" customFormat="1" ht="11.25" customHeight="1">
      <c r="A22" s="906" t="s">
        <v>574</v>
      </c>
      <c r="B22" s="1161">
        <v>347746.8</v>
      </c>
      <c r="C22" s="1161">
        <v>19369.2</v>
      </c>
      <c r="D22" s="1161">
        <v>58719.3</v>
      </c>
      <c r="E22" s="1161">
        <v>13785.7</v>
      </c>
      <c r="F22" s="1161">
        <f>D22-E22</f>
        <v>44933.600000000006</v>
      </c>
      <c r="G22" s="1161">
        <v>6093.7</v>
      </c>
      <c r="H22" s="1161">
        <v>254519.5</v>
      </c>
      <c r="I22" s="1161">
        <v>90931.1</v>
      </c>
      <c r="J22" s="1161">
        <v>48.2</v>
      </c>
      <c r="K22" s="1161">
        <v>0</v>
      </c>
      <c r="L22" s="1161">
        <f t="shared" si="2"/>
        <v>345498.8</v>
      </c>
      <c r="M22" s="1161">
        <v>1321.7</v>
      </c>
      <c r="N22" s="1161">
        <v>0</v>
      </c>
      <c r="O22" s="1161">
        <v>0</v>
      </c>
      <c r="P22" s="1161">
        <v>0</v>
      </c>
      <c r="Q22" s="1161">
        <v>0</v>
      </c>
      <c r="R22" s="1161">
        <v>62830.400000000001</v>
      </c>
      <c r="S22" s="1161">
        <v>8492.4</v>
      </c>
    </row>
    <row r="23" spans="1:19" s="907" customFormat="1" ht="13.5" customHeight="1">
      <c r="A23" s="1643" t="s">
        <v>2352</v>
      </c>
      <c r="B23" s="1162">
        <f>B35</f>
        <v>287497.5</v>
      </c>
      <c r="C23" s="1162">
        <f t="shared" ref="C23:S23" si="3">C35</f>
        <v>66711.3</v>
      </c>
      <c r="D23" s="1162">
        <f t="shared" si="3"/>
        <v>156819.70000000001</v>
      </c>
      <c r="E23" s="1162">
        <f t="shared" si="3"/>
        <v>12866.8</v>
      </c>
      <c r="F23" s="1162">
        <f t="shared" si="3"/>
        <v>143952.90000000002</v>
      </c>
      <c r="G23" s="1162">
        <f t="shared" si="3"/>
        <v>6413.1</v>
      </c>
      <c r="H23" s="1162">
        <f t="shared" si="3"/>
        <v>310153.40000000002</v>
      </c>
      <c r="I23" s="1162">
        <f t="shared" si="3"/>
        <v>71488.899999999994</v>
      </c>
      <c r="J23" s="1162">
        <f t="shared" si="3"/>
        <v>148.5</v>
      </c>
      <c r="K23" s="1162">
        <f t="shared" si="3"/>
        <v>0</v>
      </c>
      <c r="L23" s="1162">
        <f t="shared" si="3"/>
        <v>381790.80000000005</v>
      </c>
      <c r="M23" s="1162">
        <f t="shared" si="3"/>
        <v>2173.5</v>
      </c>
      <c r="N23" s="1162">
        <f t="shared" si="3"/>
        <v>0</v>
      </c>
      <c r="O23" s="1162">
        <f t="shared" si="3"/>
        <v>0</v>
      </c>
      <c r="P23" s="1162">
        <f t="shared" si="3"/>
        <v>0</v>
      </c>
      <c r="Q23" s="1162">
        <f t="shared" si="3"/>
        <v>0</v>
      </c>
      <c r="R23" s="1162">
        <f t="shared" si="3"/>
        <v>102034.3</v>
      </c>
      <c r="S23" s="1162">
        <f t="shared" si="3"/>
        <v>18557.599999999999</v>
      </c>
    </row>
    <row r="24" spans="1:19" s="907" customFormat="1" ht="11.25" customHeight="1">
      <c r="A24" s="906" t="s">
        <v>576</v>
      </c>
      <c r="B24" s="1161">
        <v>341807.6</v>
      </c>
      <c r="C24" s="1161">
        <v>29619.200000000001</v>
      </c>
      <c r="D24" s="1161">
        <v>67405.899999999994</v>
      </c>
      <c r="E24" s="1161">
        <v>23212.3</v>
      </c>
      <c r="F24" s="1161">
        <f t="shared" ref="F24:F28" si="4">D24-E24</f>
        <v>44193.599999999991</v>
      </c>
      <c r="G24" s="1161">
        <v>6067.6</v>
      </c>
      <c r="H24" s="1161">
        <v>262931.09999999998</v>
      </c>
      <c r="I24" s="1161">
        <v>80205.899999999994</v>
      </c>
      <c r="J24" s="1161">
        <v>121.6</v>
      </c>
      <c r="K24" s="1161">
        <v>0</v>
      </c>
      <c r="L24" s="1161">
        <f t="shared" si="2"/>
        <v>343258.6</v>
      </c>
      <c r="M24" s="1161">
        <v>1946.2</v>
      </c>
      <c r="N24" s="1161">
        <v>0</v>
      </c>
      <c r="O24" s="1161">
        <v>0</v>
      </c>
      <c r="P24" s="1161">
        <v>0</v>
      </c>
      <c r="Q24" s="1161">
        <v>0</v>
      </c>
      <c r="R24" s="1161">
        <v>67892.5</v>
      </c>
      <c r="S24" s="1161">
        <v>8590.7000000000007</v>
      </c>
    </row>
    <row r="25" spans="1:19" s="907" customFormat="1" ht="11.25" customHeight="1">
      <c r="A25" s="905" t="s">
        <v>577</v>
      </c>
      <c r="B25" s="1160">
        <v>323766.59999999998</v>
      </c>
      <c r="C25" s="1160">
        <v>33219</v>
      </c>
      <c r="D25" s="1160">
        <v>69696.600000000006</v>
      </c>
      <c r="E25" s="1160">
        <v>16551.900000000001</v>
      </c>
      <c r="F25" s="1160">
        <f t="shared" si="4"/>
        <v>53144.700000000004</v>
      </c>
      <c r="G25" s="1160">
        <v>6082.3</v>
      </c>
      <c r="H25" s="1160">
        <v>261231</v>
      </c>
      <c r="I25" s="1160">
        <v>78318.7</v>
      </c>
      <c r="J25" s="1160">
        <v>104.8</v>
      </c>
      <c r="K25" s="1160">
        <v>0</v>
      </c>
      <c r="L25" s="1160">
        <f t="shared" si="2"/>
        <v>339654.5</v>
      </c>
      <c r="M25" s="1160">
        <v>1597.2</v>
      </c>
      <c r="N25" s="1160">
        <v>0</v>
      </c>
      <c r="O25" s="1160">
        <v>0</v>
      </c>
      <c r="P25" s="1160">
        <v>0</v>
      </c>
      <c r="Q25" s="1160">
        <v>0</v>
      </c>
      <c r="R25" s="1160">
        <v>67820.600000000006</v>
      </c>
      <c r="S25" s="1160">
        <v>7140.3</v>
      </c>
    </row>
    <row r="26" spans="1:19" s="907" customFormat="1" ht="11.25" customHeight="1">
      <c r="A26" s="906" t="s">
        <v>571</v>
      </c>
      <c r="B26" s="1161">
        <v>319038.2</v>
      </c>
      <c r="C26" s="1161">
        <v>30920.1</v>
      </c>
      <c r="D26" s="1161">
        <v>75773.600000000006</v>
      </c>
      <c r="E26" s="1161">
        <v>12718.9</v>
      </c>
      <c r="F26" s="1161">
        <f t="shared" si="4"/>
        <v>63054.700000000004</v>
      </c>
      <c r="G26" s="1161">
        <v>6098.4</v>
      </c>
      <c r="H26" s="1161">
        <v>259946.1</v>
      </c>
      <c r="I26" s="1161">
        <v>78316.100000000006</v>
      </c>
      <c r="J26" s="1161">
        <v>127.6</v>
      </c>
      <c r="K26" s="1161">
        <v>0</v>
      </c>
      <c r="L26" s="1161">
        <f t="shared" si="2"/>
        <v>338389.8</v>
      </c>
      <c r="M26" s="1161">
        <v>1770.2</v>
      </c>
      <c r="N26" s="1161">
        <v>0</v>
      </c>
      <c r="O26" s="1161">
        <v>0</v>
      </c>
      <c r="P26" s="1161">
        <v>0</v>
      </c>
      <c r="Q26" s="1161">
        <v>0</v>
      </c>
      <c r="R26" s="1161">
        <v>68004.800000000003</v>
      </c>
      <c r="S26" s="1161">
        <v>10946.6</v>
      </c>
    </row>
    <row r="27" spans="1:19" s="907" customFormat="1" ht="11.25" customHeight="1">
      <c r="A27" s="905" t="s">
        <v>578</v>
      </c>
      <c r="B27" s="1160">
        <v>309741.7</v>
      </c>
      <c r="C27" s="1160">
        <v>27583.599999999999</v>
      </c>
      <c r="D27" s="1160">
        <v>86383</v>
      </c>
      <c r="E27" s="1160">
        <v>11896.1</v>
      </c>
      <c r="F27" s="1160">
        <f t="shared" si="4"/>
        <v>74486.899999999994</v>
      </c>
      <c r="G27" s="1160">
        <v>6128.4</v>
      </c>
      <c r="H27" s="1160">
        <v>256374.7</v>
      </c>
      <c r="I27" s="1160">
        <v>77266.899999999994</v>
      </c>
      <c r="J27" s="1160">
        <v>136.5</v>
      </c>
      <c r="K27" s="1160">
        <v>0</v>
      </c>
      <c r="L27" s="1160">
        <f t="shared" si="2"/>
        <v>333778.09999999998</v>
      </c>
      <c r="M27" s="1160">
        <v>1872.7</v>
      </c>
      <c r="N27" s="1160">
        <v>0</v>
      </c>
      <c r="O27" s="1160">
        <v>0</v>
      </c>
      <c r="P27" s="1160">
        <v>0</v>
      </c>
      <c r="Q27" s="1160">
        <v>0</v>
      </c>
      <c r="R27" s="1160">
        <v>72132.5</v>
      </c>
      <c r="S27" s="1160">
        <v>10157.299999999999</v>
      </c>
    </row>
    <row r="28" spans="1:19" s="907" customFormat="1" ht="11.25" customHeight="1">
      <c r="A28" s="906" t="s">
        <v>579</v>
      </c>
      <c r="B28" s="1161">
        <v>300467.3</v>
      </c>
      <c r="C28" s="1161">
        <v>40434.300000000003</v>
      </c>
      <c r="D28" s="1161">
        <v>91010</v>
      </c>
      <c r="E28" s="1161">
        <v>8362</v>
      </c>
      <c r="F28" s="1161">
        <f t="shared" si="4"/>
        <v>82648</v>
      </c>
      <c r="G28" s="1161">
        <v>6152.1</v>
      </c>
      <c r="H28" s="1161">
        <v>272891.59999999998</v>
      </c>
      <c r="I28" s="1161">
        <v>71651.600000000006</v>
      </c>
      <c r="J28" s="1161">
        <v>114.7</v>
      </c>
      <c r="K28" s="1161">
        <v>0</v>
      </c>
      <c r="L28" s="1161">
        <f t="shared" si="2"/>
        <v>344657.89999999997</v>
      </c>
      <c r="M28" s="1161">
        <v>1517.4</v>
      </c>
      <c r="N28" s="1161">
        <v>0</v>
      </c>
      <c r="O28" s="1161">
        <v>0</v>
      </c>
      <c r="P28" s="1161">
        <v>0</v>
      </c>
      <c r="Q28" s="1161">
        <v>0</v>
      </c>
      <c r="R28" s="1161">
        <v>77967.5</v>
      </c>
      <c r="S28" s="1161">
        <v>5558.9</v>
      </c>
    </row>
    <row r="29" spans="1:19" s="907" customFormat="1" ht="11.25" customHeight="1">
      <c r="A29" s="905" t="s">
        <v>572</v>
      </c>
      <c r="B29" s="1160">
        <v>297498.09999999998</v>
      </c>
      <c r="C29" s="1160">
        <v>70326.399999999994</v>
      </c>
      <c r="D29" s="1160">
        <v>104438.3</v>
      </c>
      <c r="E29" s="1160">
        <v>8240.7999999999993</v>
      </c>
      <c r="F29" s="1160">
        <f t="shared" ref="F29:F42" si="5">D29-E29</f>
        <v>96197.5</v>
      </c>
      <c r="G29" s="1160">
        <v>6203</v>
      </c>
      <c r="H29" s="1160">
        <v>290646.3</v>
      </c>
      <c r="I29" s="1160">
        <v>87532.9</v>
      </c>
      <c r="J29" s="1160">
        <v>115.3</v>
      </c>
      <c r="K29" s="1160">
        <v>0</v>
      </c>
      <c r="L29" s="1160">
        <f t="shared" si="2"/>
        <v>378294.49999999994</v>
      </c>
      <c r="M29" s="1160">
        <v>1640.2</v>
      </c>
      <c r="N29" s="1160">
        <v>0</v>
      </c>
      <c r="O29" s="1160">
        <v>0</v>
      </c>
      <c r="P29" s="1160">
        <v>0</v>
      </c>
      <c r="Q29" s="1160">
        <v>0</v>
      </c>
      <c r="R29" s="1160">
        <v>84157.9</v>
      </c>
      <c r="S29" s="1160">
        <v>6132.4</v>
      </c>
    </row>
    <row r="30" spans="1:19" s="907" customFormat="1" ht="11.25" customHeight="1">
      <c r="A30" s="906" t="s">
        <v>580</v>
      </c>
      <c r="B30" s="1161">
        <v>290993.2</v>
      </c>
      <c r="C30" s="1161">
        <v>53575</v>
      </c>
      <c r="D30" s="1161">
        <v>107240.6</v>
      </c>
      <c r="E30" s="1161">
        <v>9000.4</v>
      </c>
      <c r="F30" s="1161">
        <f t="shared" si="5"/>
        <v>98240.200000000012</v>
      </c>
      <c r="G30" s="1161">
        <v>6210.4</v>
      </c>
      <c r="H30" s="1161">
        <v>285416.2</v>
      </c>
      <c r="I30" s="1161">
        <v>65463.4</v>
      </c>
      <c r="J30" s="1161">
        <v>183.6</v>
      </c>
      <c r="K30" s="1161">
        <v>0</v>
      </c>
      <c r="L30" s="1161">
        <f t="shared" si="2"/>
        <v>351063.2</v>
      </c>
      <c r="M30" s="1161">
        <v>1311.3</v>
      </c>
      <c r="N30" s="1161">
        <v>0</v>
      </c>
      <c r="O30" s="1161">
        <v>0</v>
      </c>
      <c r="P30" s="1161">
        <v>0</v>
      </c>
      <c r="Q30" s="1161">
        <v>0</v>
      </c>
      <c r="R30" s="1161">
        <v>90665.1</v>
      </c>
      <c r="S30" s="1161">
        <v>5979.2</v>
      </c>
    </row>
    <row r="31" spans="1:19" s="907" customFormat="1" ht="11.25" customHeight="1">
      <c r="A31" s="905" t="s">
        <v>581</v>
      </c>
      <c r="B31" s="1160">
        <v>285064.40000000002</v>
      </c>
      <c r="C31" s="1160">
        <v>60596.3</v>
      </c>
      <c r="D31" s="1160">
        <v>114387.9</v>
      </c>
      <c r="E31" s="1160">
        <v>15179.8</v>
      </c>
      <c r="F31" s="1160">
        <f t="shared" si="5"/>
        <v>99208.099999999991</v>
      </c>
      <c r="G31" s="1160">
        <v>6240.5</v>
      </c>
      <c r="H31" s="1160">
        <v>280759.2</v>
      </c>
      <c r="I31" s="1160">
        <v>67766.100000000006</v>
      </c>
      <c r="J31" s="1160">
        <v>86</v>
      </c>
      <c r="K31" s="1160">
        <v>0</v>
      </c>
      <c r="L31" s="1160">
        <f t="shared" si="2"/>
        <v>348611.30000000005</v>
      </c>
      <c r="M31" s="1160">
        <v>1988.4</v>
      </c>
      <c r="N31" s="1160">
        <v>0</v>
      </c>
      <c r="O31" s="1160">
        <v>0</v>
      </c>
      <c r="P31" s="1160">
        <v>0</v>
      </c>
      <c r="Q31" s="1160">
        <v>0</v>
      </c>
      <c r="R31" s="1160">
        <v>92048.9</v>
      </c>
      <c r="S31" s="1160">
        <v>8460.7000000000007</v>
      </c>
    </row>
    <row r="32" spans="1:19" s="907" customFormat="1" ht="11.25" customHeight="1">
      <c r="A32" s="906" t="s">
        <v>573</v>
      </c>
      <c r="B32" s="1161">
        <v>280533</v>
      </c>
      <c r="C32" s="1161">
        <v>62689.1</v>
      </c>
      <c r="D32" s="1161">
        <v>117157.2</v>
      </c>
      <c r="E32" s="1161">
        <v>14875.5</v>
      </c>
      <c r="F32" s="1161">
        <f t="shared" si="5"/>
        <v>102281.7</v>
      </c>
      <c r="G32" s="1161">
        <v>6268.7</v>
      </c>
      <c r="H32" s="1161">
        <v>277214.3</v>
      </c>
      <c r="I32" s="1161">
        <v>66530.7</v>
      </c>
      <c r="J32" s="1161">
        <v>109.8</v>
      </c>
      <c r="K32" s="1161">
        <v>0</v>
      </c>
      <c r="L32" s="1161">
        <f t="shared" si="2"/>
        <v>343854.8</v>
      </c>
      <c r="M32" s="1161">
        <v>1638.3</v>
      </c>
      <c r="N32" s="1161">
        <v>0</v>
      </c>
      <c r="O32" s="1161">
        <v>0</v>
      </c>
      <c r="P32" s="1161">
        <v>0</v>
      </c>
      <c r="Q32" s="1161">
        <v>0</v>
      </c>
      <c r="R32" s="1161">
        <v>98818.3</v>
      </c>
      <c r="S32" s="1161">
        <v>7461.1</v>
      </c>
    </row>
    <row r="33" spans="1:21" s="907" customFormat="1" ht="11.25" customHeight="1">
      <c r="A33" s="905" t="s">
        <v>582</v>
      </c>
      <c r="B33" s="1160">
        <v>275846</v>
      </c>
      <c r="C33" s="1160">
        <v>60203</v>
      </c>
      <c r="D33" s="1160">
        <v>135283.20000000001</v>
      </c>
      <c r="E33" s="1160">
        <v>9256.9</v>
      </c>
      <c r="F33" s="1160">
        <f t="shared" si="5"/>
        <v>126026.30000000002</v>
      </c>
      <c r="G33" s="1160">
        <v>6303.3</v>
      </c>
      <c r="H33" s="1160">
        <v>289874.7</v>
      </c>
      <c r="I33" s="1160">
        <v>65838.600000000006</v>
      </c>
      <c r="J33" s="1160">
        <v>125.4</v>
      </c>
      <c r="K33" s="1160">
        <v>0</v>
      </c>
      <c r="L33" s="1160">
        <f t="shared" si="2"/>
        <v>355838.70000000007</v>
      </c>
      <c r="M33" s="1160">
        <v>2741.5</v>
      </c>
      <c r="N33" s="1160">
        <v>0</v>
      </c>
      <c r="O33" s="1160">
        <v>0</v>
      </c>
      <c r="P33" s="1160">
        <v>0</v>
      </c>
      <c r="Q33" s="1160">
        <v>0</v>
      </c>
      <c r="R33" s="1160">
        <v>103317.8</v>
      </c>
      <c r="S33" s="1160">
        <v>6480.6</v>
      </c>
    </row>
    <row r="34" spans="1:21" s="907" customFormat="1" ht="11.25" customHeight="1">
      <c r="A34" s="906" t="s">
        <v>583</v>
      </c>
      <c r="B34" s="1161">
        <v>275078.7</v>
      </c>
      <c r="C34" s="1161">
        <v>60715.5</v>
      </c>
      <c r="D34" s="1161">
        <v>132652.20000000001</v>
      </c>
      <c r="E34" s="1161">
        <v>13179.2</v>
      </c>
      <c r="F34" s="1161">
        <f t="shared" si="5"/>
        <v>119473.00000000001</v>
      </c>
      <c r="G34" s="1161">
        <v>6324.8</v>
      </c>
      <c r="H34" s="1161">
        <v>278217.09999999998</v>
      </c>
      <c r="I34" s="1161">
        <v>68169.2</v>
      </c>
      <c r="J34" s="1161">
        <v>98</v>
      </c>
      <c r="K34" s="1161">
        <v>0</v>
      </c>
      <c r="L34" s="1161">
        <f>H34+I34+J34+K34</f>
        <v>346484.3</v>
      </c>
      <c r="M34" s="1161">
        <v>2466.5</v>
      </c>
      <c r="N34" s="1161">
        <v>0</v>
      </c>
      <c r="O34" s="1161">
        <v>0</v>
      </c>
      <c r="P34" s="1161">
        <v>0</v>
      </c>
      <c r="Q34" s="1161">
        <v>0</v>
      </c>
      <c r="R34" s="1161">
        <v>106997.7</v>
      </c>
      <c r="S34" s="1161">
        <v>5643.5</v>
      </c>
    </row>
    <row r="35" spans="1:21" s="907" customFormat="1" ht="11.25" customHeight="1">
      <c r="A35" s="905" t="s">
        <v>574</v>
      </c>
      <c r="B35" s="1160">
        <v>287497.5</v>
      </c>
      <c r="C35" s="1160">
        <v>66711.3</v>
      </c>
      <c r="D35" s="1160">
        <v>156819.70000000001</v>
      </c>
      <c r="E35" s="1160">
        <v>12866.8</v>
      </c>
      <c r="F35" s="1160">
        <f t="shared" si="5"/>
        <v>143952.90000000002</v>
      </c>
      <c r="G35" s="1160">
        <v>6413.1</v>
      </c>
      <c r="H35" s="1160">
        <v>310153.40000000002</v>
      </c>
      <c r="I35" s="1160">
        <v>71488.899999999994</v>
      </c>
      <c r="J35" s="1160">
        <v>148.5</v>
      </c>
      <c r="K35" s="1160">
        <v>0</v>
      </c>
      <c r="L35" s="1160">
        <f>H35+I35+J35+K35</f>
        <v>381790.80000000005</v>
      </c>
      <c r="M35" s="1160">
        <v>2173.5</v>
      </c>
      <c r="N35" s="1160">
        <v>0</v>
      </c>
      <c r="O35" s="1160">
        <v>0</v>
      </c>
      <c r="P35" s="1160">
        <v>0</v>
      </c>
      <c r="Q35" s="1160">
        <v>0</v>
      </c>
      <c r="R35" s="1160">
        <v>102034.3</v>
      </c>
      <c r="S35" s="1160">
        <v>18557.599999999999</v>
      </c>
    </row>
    <row r="36" spans="1:21" s="907" customFormat="1" ht="13.5" customHeight="1">
      <c r="A36" s="1319" t="s">
        <v>2525</v>
      </c>
      <c r="B36" s="1161"/>
      <c r="C36" s="1161"/>
      <c r="D36" s="1161"/>
      <c r="E36" s="1161"/>
      <c r="F36" s="1161"/>
      <c r="G36" s="1161"/>
      <c r="H36" s="1161"/>
      <c r="I36" s="1161"/>
      <c r="J36" s="1161"/>
      <c r="K36" s="1161"/>
      <c r="L36" s="1161"/>
      <c r="M36" s="1161"/>
      <c r="N36" s="1161"/>
      <c r="O36" s="1161"/>
      <c r="P36" s="1161"/>
      <c r="Q36" s="1161"/>
      <c r="R36" s="1161"/>
      <c r="S36" s="1161"/>
    </row>
    <row r="37" spans="1:21" s="907" customFormat="1" ht="11.25" customHeight="1">
      <c r="A37" s="905" t="s">
        <v>576</v>
      </c>
      <c r="B37" s="1160">
        <v>284092.3</v>
      </c>
      <c r="C37" s="1160">
        <v>68543.199999999997</v>
      </c>
      <c r="D37" s="1160">
        <v>147168.79999999999</v>
      </c>
      <c r="E37" s="1160">
        <v>13015.6</v>
      </c>
      <c r="F37" s="1160">
        <f t="shared" si="5"/>
        <v>134153.19999999998</v>
      </c>
      <c r="G37" s="1160">
        <v>6371.7</v>
      </c>
      <c r="H37" s="1160">
        <v>290730.8</v>
      </c>
      <c r="I37" s="1160">
        <v>72729.8</v>
      </c>
      <c r="J37" s="1160">
        <v>395.8</v>
      </c>
      <c r="K37" s="1160">
        <v>0</v>
      </c>
      <c r="L37" s="1160">
        <f t="shared" ref="L37:L42" si="6">H37+I37+J37+K37</f>
        <v>363856.39999999997</v>
      </c>
      <c r="M37" s="1160">
        <v>1995.5</v>
      </c>
      <c r="N37" s="1160">
        <v>0</v>
      </c>
      <c r="O37" s="1160">
        <v>0</v>
      </c>
      <c r="P37" s="1160">
        <v>0</v>
      </c>
      <c r="Q37" s="1160">
        <v>0</v>
      </c>
      <c r="R37" s="1160">
        <v>112124.2</v>
      </c>
      <c r="S37" s="1160">
        <v>15184.3</v>
      </c>
    </row>
    <row r="38" spans="1:21" s="907" customFormat="1" ht="11.25" customHeight="1">
      <c r="A38" s="906" t="s">
        <v>577</v>
      </c>
      <c r="B38" s="1161">
        <v>272944.3</v>
      </c>
      <c r="C38" s="1161">
        <v>67766.7</v>
      </c>
      <c r="D38" s="1161">
        <v>145873.4</v>
      </c>
      <c r="E38" s="1161">
        <v>23547.7</v>
      </c>
      <c r="F38" s="1161">
        <f t="shared" si="5"/>
        <v>122325.7</v>
      </c>
      <c r="G38" s="1161">
        <v>6371.6</v>
      </c>
      <c r="H38" s="1161">
        <v>280673.90000000002</v>
      </c>
      <c r="I38" s="1161">
        <v>68362.7</v>
      </c>
      <c r="J38" s="1161">
        <v>358.9</v>
      </c>
      <c r="K38" s="1161">
        <v>0</v>
      </c>
      <c r="L38" s="1161">
        <f t="shared" si="6"/>
        <v>349395.50000000006</v>
      </c>
      <c r="M38" s="1161">
        <v>1387.8</v>
      </c>
      <c r="N38" s="1161">
        <v>0</v>
      </c>
      <c r="O38" s="1161">
        <v>0</v>
      </c>
      <c r="P38" s="1161">
        <v>0</v>
      </c>
      <c r="Q38" s="1161">
        <v>0</v>
      </c>
      <c r="R38" s="1161">
        <v>114177.60000000001</v>
      </c>
      <c r="S38" s="1161">
        <v>4447.3999999999996</v>
      </c>
    </row>
    <row r="39" spans="1:21" s="907" customFormat="1" ht="11.25" customHeight="1">
      <c r="A39" s="905" t="s">
        <v>571</v>
      </c>
      <c r="B39" s="1160">
        <v>258981.4</v>
      </c>
      <c r="C39" s="1160">
        <v>80732.399999999994</v>
      </c>
      <c r="D39" s="1160">
        <v>137889.4</v>
      </c>
      <c r="E39" s="1160">
        <v>22906.1</v>
      </c>
      <c r="F39" s="1160">
        <f t="shared" si="5"/>
        <v>114983.29999999999</v>
      </c>
      <c r="G39" s="1160">
        <v>6370.6</v>
      </c>
      <c r="H39" s="1160">
        <v>275491.90000000002</v>
      </c>
      <c r="I39" s="1160">
        <v>66906</v>
      </c>
      <c r="J39" s="1160">
        <v>15.1</v>
      </c>
      <c r="K39" s="1160">
        <v>0</v>
      </c>
      <c r="L39" s="1160">
        <f t="shared" si="6"/>
        <v>342413</v>
      </c>
      <c r="M39" s="1160">
        <v>2256.3000000000002</v>
      </c>
      <c r="N39" s="1160">
        <v>0</v>
      </c>
      <c r="O39" s="1160">
        <v>0</v>
      </c>
      <c r="P39" s="1160">
        <v>0</v>
      </c>
      <c r="Q39" s="1160">
        <v>0</v>
      </c>
      <c r="R39" s="1160">
        <v>115288.2</v>
      </c>
      <c r="S39" s="1160">
        <v>1110.2</v>
      </c>
    </row>
    <row r="40" spans="1:21" s="907" customFormat="1" ht="11.25" customHeight="1">
      <c r="A40" s="906" t="s">
        <v>578</v>
      </c>
      <c r="B40" s="1161">
        <v>248079.8</v>
      </c>
      <c r="C40" s="1161">
        <v>91983.4</v>
      </c>
      <c r="D40" s="1161">
        <v>126729</v>
      </c>
      <c r="E40" s="1161">
        <v>14717.7</v>
      </c>
      <c r="F40" s="1161">
        <f t="shared" si="5"/>
        <v>112011.3</v>
      </c>
      <c r="G40" s="1161">
        <v>6395</v>
      </c>
      <c r="H40" s="1161">
        <v>271207.09999999998</v>
      </c>
      <c r="I40" s="1161">
        <v>66886.5</v>
      </c>
      <c r="J40" s="1161">
        <v>34.700000000000003</v>
      </c>
      <c r="K40" s="1161">
        <v>0</v>
      </c>
      <c r="L40" s="1161">
        <f t="shared" si="6"/>
        <v>338128.3</v>
      </c>
      <c r="M40" s="1161">
        <v>2202.8000000000002</v>
      </c>
      <c r="N40" s="1161">
        <v>0</v>
      </c>
      <c r="O40" s="1161">
        <v>0</v>
      </c>
      <c r="P40" s="1161">
        <v>0</v>
      </c>
      <c r="Q40" s="1161">
        <v>0</v>
      </c>
      <c r="R40" s="1161">
        <v>118015.5</v>
      </c>
      <c r="S40" s="1161">
        <v>122.9</v>
      </c>
    </row>
    <row r="41" spans="1:21" s="907" customFormat="1" ht="11.25" customHeight="1">
      <c r="A41" s="905" t="s">
        <v>579</v>
      </c>
      <c r="B41" s="1160">
        <v>235600.5</v>
      </c>
      <c r="C41" s="1160">
        <v>101294.1</v>
      </c>
      <c r="D41" s="1160">
        <v>131598.9</v>
      </c>
      <c r="E41" s="1160">
        <v>14762.6</v>
      </c>
      <c r="F41" s="1160">
        <f t="shared" si="5"/>
        <v>116836.29999999999</v>
      </c>
      <c r="G41" s="1160">
        <v>6435.5</v>
      </c>
      <c r="H41" s="1160">
        <v>272673.3</v>
      </c>
      <c r="I41" s="1160">
        <v>65830.3</v>
      </c>
      <c r="J41" s="1160">
        <v>28.7</v>
      </c>
      <c r="K41" s="1160">
        <v>0</v>
      </c>
      <c r="L41" s="1160">
        <f t="shared" si="6"/>
        <v>338532.3</v>
      </c>
      <c r="M41" s="1160">
        <v>1532.6</v>
      </c>
      <c r="N41" s="1160">
        <v>0</v>
      </c>
      <c r="O41" s="1160">
        <v>0</v>
      </c>
      <c r="P41" s="1160">
        <v>0</v>
      </c>
      <c r="Q41" s="1160">
        <v>0</v>
      </c>
      <c r="R41" s="1160">
        <v>121389.2</v>
      </c>
      <c r="S41" s="1160">
        <v>-1287.7</v>
      </c>
    </row>
    <row r="42" spans="1:21" s="907" customFormat="1" ht="11.25" customHeight="1" thickBot="1">
      <c r="A42" s="1756" t="s">
        <v>572</v>
      </c>
      <c r="B42" s="1757">
        <v>248198.9</v>
      </c>
      <c r="C42" s="1757">
        <v>130735.4</v>
      </c>
      <c r="D42" s="1757">
        <v>125678.39999999999</v>
      </c>
      <c r="E42" s="1757">
        <v>15718.1</v>
      </c>
      <c r="F42" s="1757">
        <f t="shared" si="5"/>
        <v>109960.29999999999</v>
      </c>
      <c r="G42" s="1757">
        <v>6525.5</v>
      </c>
      <c r="H42" s="1757">
        <v>277805.09999999998</v>
      </c>
      <c r="I42" s="1757">
        <v>92627.8</v>
      </c>
      <c r="J42" s="1757">
        <v>37.5</v>
      </c>
      <c r="K42" s="1757">
        <v>0</v>
      </c>
      <c r="L42" s="1757">
        <f t="shared" si="6"/>
        <v>370470.39999999997</v>
      </c>
      <c r="M42" s="1757">
        <v>2687</v>
      </c>
      <c r="N42" s="1757">
        <v>0</v>
      </c>
      <c r="O42" s="1757">
        <v>0</v>
      </c>
      <c r="P42" s="1757">
        <v>0</v>
      </c>
      <c r="Q42" s="1757">
        <v>0</v>
      </c>
      <c r="R42" s="1757">
        <v>123799.8</v>
      </c>
      <c r="S42" s="1757">
        <v>-1537.1</v>
      </c>
    </row>
    <row r="43" spans="1:21" s="907" customFormat="1" ht="13.5" customHeight="1">
      <c r="A43" s="735" t="s">
        <v>16</v>
      </c>
      <c r="B43" s="736" t="s">
        <v>1297</v>
      </c>
      <c r="C43" s="736"/>
      <c r="D43" s="732"/>
      <c r="E43" s="732"/>
      <c r="F43" s="732"/>
      <c r="G43" s="741" t="s">
        <v>1390</v>
      </c>
      <c r="H43" s="893"/>
      <c r="I43" s="464"/>
      <c r="J43" s="893"/>
      <c r="K43" s="893"/>
      <c r="L43" s="893"/>
      <c r="M43" s="893"/>
      <c r="N43" s="893"/>
      <c r="O43" s="893"/>
      <c r="P43" s="893"/>
      <c r="Q43" s="893"/>
      <c r="R43" s="893"/>
      <c r="S43" s="893"/>
    </row>
    <row r="44" spans="1:21">
      <c r="B44" s="1414"/>
      <c r="C44" s="1231"/>
      <c r="D44" s="1231"/>
      <c r="E44" s="1231"/>
      <c r="F44" s="1273"/>
      <c r="G44" s="1273"/>
      <c r="H44" s="1273"/>
      <c r="I44" s="1273"/>
      <c r="J44" s="1273"/>
      <c r="K44" s="1165"/>
      <c r="M44" s="1231"/>
      <c r="N44" s="741"/>
      <c r="O44" s="1231"/>
      <c r="P44" s="741"/>
      <c r="Q44" s="741"/>
      <c r="R44" s="1231"/>
      <c r="S44" s="1231"/>
      <c r="U44" s="1165"/>
    </row>
    <row r="45" spans="1:21">
      <c r="Q45" s="1165"/>
      <c r="R45" s="1165"/>
      <c r="S45" s="1231"/>
    </row>
    <row r="46" spans="1:21">
      <c r="Q46" s="1165"/>
      <c r="R46" s="1165"/>
      <c r="S46" s="1231"/>
    </row>
    <row r="47" spans="1:21">
      <c r="D47" s="1273"/>
      <c r="E47" s="1165"/>
      <c r="F47" s="1273"/>
      <c r="G47" s="1273"/>
      <c r="H47" s="1273"/>
      <c r="I47" s="1273"/>
      <c r="J47" s="1273"/>
      <c r="K47" s="1165"/>
      <c r="M47" s="741"/>
      <c r="N47" s="741"/>
      <c r="O47" s="741"/>
      <c r="P47" s="741"/>
    </row>
    <row r="48" spans="1:21">
      <c r="A48" s="1165"/>
      <c r="B48" s="1165"/>
      <c r="D48" s="1273"/>
      <c r="E48" s="1273"/>
      <c r="F48" s="1273"/>
      <c r="G48" s="1273"/>
      <c r="H48" s="1273"/>
      <c r="I48" s="1273"/>
      <c r="J48" s="1273"/>
      <c r="K48" s="1165"/>
      <c r="M48" s="741"/>
      <c r="N48" s="741"/>
      <c r="O48" s="741"/>
      <c r="P48" s="741"/>
    </row>
    <row r="49" spans="1:19">
      <c r="A49" s="1165"/>
      <c r="B49" s="1165"/>
      <c r="C49" s="1165"/>
      <c r="D49" s="1165"/>
      <c r="E49" s="1165"/>
      <c r="F49" s="1165"/>
      <c r="G49" s="1165"/>
      <c r="H49" s="1165"/>
      <c r="I49" s="1165"/>
      <c r="J49" s="1165"/>
      <c r="K49" s="1165"/>
      <c r="L49" s="1165"/>
      <c r="M49" s="1165"/>
      <c r="N49" s="1165"/>
      <c r="O49" s="1165"/>
      <c r="P49" s="1165"/>
      <c r="Q49" s="1165"/>
      <c r="R49" s="1165"/>
      <c r="S49" s="1165"/>
    </row>
    <row r="50" spans="1:19">
      <c r="A50" s="1165"/>
      <c r="B50" s="1165"/>
      <c r="C50" s="1165"/>
      <c r="D50" s="1165"/>
      <c r="E50" s="1165"/>
      <c r="F50" s="1165"/>
      <c r="G50" s="1165"/>
      <c r="H50" s="1165"/>
      <c r="I50" s="1165"/>
      <c r="J50" s="1165"/>
      <c r="K50" s="1165"/>
      <c r="L50" s="1165"/>
      <c r="M50" s="1165"/>
      <c r="N50" s="1165"/>
      <c r="O50" s="1165"/>
      <c r="P50" s="1165"/>
      <c r="Q50" s="1165"/>
      <c r="R50" s="1165"/>
      <c r="S50" s="1165"/>
    </row>
    <row r="51" spans="1:19">
      <c r="A51" s="1165"/>
      <c r="B51" s="1165"/>
      <c r="C51" s="1165"/>
      <c r="D51" s="1165"/>
      <c r="E51" s="1165"/>
      <c r="F51" s="1165"/>
      <c r="G51" s="1165"/>
      <c r="H51" s="1165"/>
      <c r="I51" s="1165"/>
      <c r="J51" s="1165"/>
      <c r="K51" s="1165"/>
      <c r="L51" s="1165"/>
      <c r="M51" s="1165"/>
      <c r="N51" s="1165"/>
      <c r="O51" s="1165"/>
      <c r="P51" s="1165"/>
      <c r="Q51" s="1165"/>
      <c r="R51" s="1165"/>
      <c r="S51" s="1165"/>
    </row>
    <row r="52" spans="1:19">
      <c r="A52" s="1165"/>
      <c r="B52" s="1165"/>
      <c r="C52" s="1165"/>
      <c r="D52" s="1165"/>
      <c r="E52" s="1165"/>
      <c r="F52" s="1165"/>
      <c r="G52" s="1165"/>
      <c r="H52" s="1165"/>
      <c r="I52" s="1165"/>
      <c r="J52" s="1165"/>
      <c r="K52" s="1165"/>
      <c r="L52" s="1165"/>
      <c r="M52" s="1165"/>
      <c r="N52" s="1165"/>
      <c r="O52" s="1165"/>
      <c r="P52" s="1165"/>
      <c r="Q52" s="1165"/>
      <c r="R52" s="1165"/>
    </row>
    <row r="53" spans="1:19">
      <c r="D53" s="1273"/>
      <c r="E53" s="1165"/>
      <c r="F53" s="1273"/>
      <c r="G53" s="1273"/>
      <c r="H53" s="1273"/>
      <c r="I53" s="1273"/>
      <c r="J53" s="1273"/>
      <c r="K53" s="1165"/>
      <c r="M53" s="741"/>
      <c r="N53" s="741"/>
      <c r="O53" s="741"/>
      <c r="P53" s="741"/>
    </row>
    <row r="54" spans="1:19">
      <c r="D54" s="1273"/>
      <c r="E54" s="1165"/>
      <c r="F54" s="1273"/>
      <c r="G54" s="1273"/>
      <c r="H54" s="1273"/>
      <c r="I54" s="1273"/>
      <c r="J54" s="1273"/>
      <c r="K54" s="1165"/>
      <c r="M54" s="741"/>
      <c r="N54" s="741"/>
      <c r="O54" s="741"/>
      <c r="P54" s="741"/>
    </row>
    <row r="55" spans="1:19">
      <c r="D55" s="1273"/>
      <c r="E55" s="1165"/>
      <c r="F55" s="1273"/>
      <c r="G55" s="1273"/>
      <c r="H55" s="1273"/>
      <c r="I55" s="1273"/>
      <c r="J55" s="1273"/>
      <c r="K55" s="1165"/>
      <c r="M55" s="741"/>
      <c r="N55" s="741"/>
      <c r="O55" s="741"/>
      <c r="P55" s="741"/>
    </row>
    <row r="56" spans="1:19">
      <c r="D56" s="1273"/>
      <c r="E56" s="1165"/>
      <c r="F56" s="1273"/>
      <c r="G56" s="1273"/>
      <c r="H56" s="1273"/>
      <c r="I56" s="1273"/>
      <c r="J56" s="1273"/>
      <c r="K56" s="1165"/>
      <c r="M56" s="741"/>
      <c r="N56" s="741"/>
      <c r="O56" s="741"/>
      <c r="P56" s="741"/>
    </row>
    <row r="57" spans="1:19">
      <c r="D57" s="1273"/>
      <c r="E57" s="1165"/>
      <c r="F57" s="1273"/>
      <c r="G57" s="1273"/>
      <c r="H57" s="1273"/>
      <c r="I57" s="1273"/>
      <c r="J57" s="1273"/>
      <c r="K57" s="1165"/>
      <c r="M57" s="741"/>
      <c r="N57" s="741"/>
      <c r="O57" s="741"/>
      <c r="P57" s="741"/>
    </row>
    <row r="58" spans="1:19">
      <c r="D58" s="1273"/>
      <c r="E58" s="1165"/>
      <c r="F58" s="1273"/>
      <c r="G58" s="1273"/>
      <c r="H58" s="1273"/>
      <c r="I58" s="1273"/>
      <c r="J58" s="1273"/>
      <c r="K58" s="1165"/>
      <c r="M58" s="741"/>
      <c r="N58" s="741"/>
      <c r="O58" s="741"/>
      <c r="P58" s="741"/>
    </row>
    <row r="59" spans="1:19">
      <c r="D59" s="1273"/>
      <c r="E59" s="1165"/>
      <c r="F59" s="1273"/>
      <c r="G59" s="1273"/>
      <c r="H59" s="1273"/>
      <c r="I59" s="1273"/>
      <c r="J59" s="1273"/>
      <c r="K59" s="1165"/>
      <c r="M59" s="741"/>
      <c r="N59" s="741"/>
      <c r="O59" s="741"/>
      <c r="P59" s="741"/>
    </row>
    <row r="60" spans="1:19">
      <c r="D60" s="1273"/>
      <c r="E60" s="1165"/>
      <c r="F60" s="1273"/>
      <c r="G60" s="1273"/>
      <c r="H60" s="1273"/>
      <c r="I60" s="1273"/>
      <c r="J60" s="1273"/>
      <c r="K60" s="1165"/>
      <c r="M60" s="741"/>
      <c r="N60" s="741"/>
      <c r="O60" s="741"/>
      <c r="P60" s="741"/>
    </row>
    <row r="61" spans="1:19">
      <c r="D61" s="1273"/>
      <c r="E61" s="1165"/>
      <c r="F61" s="1273"/>
      <c r="G61" s="1273"/>
      <c r="H61" s="1273"/>
      <c r="I61" s="1273"/>
      <c r="J61" s="1273"/>
      <c r="K61" s="1165"/>
      <c r="M61" s="741"/>
      <c r="N61" s="741"/>
      <c r="O61" s="741"/>
      <c r="P61" s="741"/>
    </row>
    <row r="62" spans="1:19">
      <c r="D62" s="1273"/>
      <c r="E62" s="1165"/>
      <c r="F62" s="1273"/>
      <c r="G62" s="1273"/>
      <c r="H62" s="1273"/>
      <c r="I62" s="1273"/>
      <c r="J62" s="1273"/>
      <c r="K62" s="1165"/>
      <c r="M62" s="741"/>
      <c r="N62" s="741"/>
      <c r="O62" s="741"/>
      <c r="P62" s="741"/>
    </row>
    <row r="63" spans="1:19">
      <c r="D63" s="1273"/>
      <c r="E63" s="1165"/>
      <c r="F63" s="1273"/>
      <c r="G63" s="1273"/>
      <c r="H63" s="1273"/>
      <c r="I63" s="1273"/>
      <c r="J63" s="1273"/>
      <c r="K63" s="1165"/>
      <c r="M63" s="741"/>
      <c r="N63" s="741"/>
      <c r="O63" s="741"/>
      <c r="P63" s="741"/>
    </row>
    <row r="64" spans="1:19">
      <c r="D64" s="1273"/>
      <c r="E64" s="1165"/>
      <c r="F64" s="1273"/>
      <c r="G64" s="1273"/>
      <c r="H64" s="1273"/>
      <c r="I64" s="1273"/>
      <c r="J64" s="1273"/>
      <c r="K64" s="1165"/>
      <c r="M64" s="741"/>
      <c r="N64" s="741"/>
      <c r="O64" s="741"/>
      <c r="P64" s="741"/>
    </row>
    <row r="65" spans="4:16">
      <c r="D65" s="1273"/>
      <c r="E65" s="1165"/>
      <c r="F65" s="1273"/>
      <c r="G65" s="1273"/>
      <c r="H65" s="1273"/>
      <c r="I65" s="1273"/>
      <c r="J65" s="1273"/>
      <c r="K65" s="1165"/>
      <c r="M65" s="741"/>
      <c r="N65" s="741"/>
      <c r="O65" s="741"/>
      <c r="P65" s="741"/>
    </row>
    <row r="66" spans="4:16">
      <c r="D66" s="1273"/>
      <c r="E66" s="1165"/>
      <c r="F66" s="1273"/>
      <c r="G66" s="1273"/>
      <c r="H66" s="1273"/>
      <c r="I66" s="1273"/>
      <c r="J66" s="1273"/>
      <c r="K66" s="1165"/>
      <c r="M66" s="741"/>
      <c r="N66" s="741"/>
      <c r="O66" s="741"/>
      <c r="P66" s="741"/>
    </row>
    <row r="67" spans="4:16">
      <c r="D67" s="1273"/>
      <c r="E67" s="1165"/>
      <c r="F67" s="1273"/>
      <c r="G67" s="1273"/>
      <c r="H67" s="1273"/>
      <c r="I67" s="1273"/>
      <c r="J67" s="1273"/>
      <c r="K67" s="1165"/>
      <c r="M67" s="741"/>
      <c r="N67" s="741"/>
      <c r="O67" s="741"/>
      <c r="P67" s="741"/>
    </row>
    <row r="68" spans="4:16">
      <c r="D68" s="1273"/>
      <c r="E68" s="1165"/>
      <c r="F68" s="1273"/>
      <c r="G68" s="1273"/>
      <c r="H68" s="1273"/>
      <c r="I68" s="1273"/>
      <c r="J68" s="1273"/>
      <c r="K68" s="1165"/>
      <c r="M68" s="741"/>
      <c r="N68" s="741"/>
      <c r="O68" s="741"/>
      <c r="P68" s="741"/>
    </row>
    <row r="69" spans="4:16">
      <c r="D69" s="1273"/>
      <c r="E69" s="1165"/>
      <c r="F69" s="1273"/>
      <c r="G69" s="1273"/>
      <c r="H69" s="1273"/>
      <c r="I69" s="1273"/>
      <c r="J69" s="1273"/>
      <c r="K69" s="1165"/>
      <c r="M69" s="741"/>
      <c r="N69" s="741"/>
      <c r="O69" s="741"/>
      <c r="P69" s="741"/>
    </row>
    <row r="70" spans="4:16">
      <c r="D70" s="1273"/>
      <c r="E70" s="1165"/>
      <c r="F70" s="1273"/>
      <c r="G70" s="1273"/>
      <c r="H70" s="1273"/>
      <c r="I70" s="1273"/>
      <c r="J70" s="1273"/>
      <c r="K70" s="1165"/>
      <c r="M70" s="741"/>
      <c r="N70" s="741"/>
      <c r="O70" s="741"/>
      <c r="P70" s="741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</mergeCells>
  <pageMargins left="0.45" right="0.45" top="0.75" bottom="0.75" header="0.3" footer="0.3"/>
  <pageSetup paperSize="119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P68"/>
  <sheetViews>
    <sheetView zoomScale="130" zoomScaleNormal="130" workbookViewId="0">
      <pane xSplit="1" ySplit="7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A49" sqref="A49:XFD49"/>
    </sheetView>
  </sheetViews>
  <sheetFormatPr defaultRowHeight="12.75"/>
  <cols>
    <col min="1" max="8" width="9.140625" style="1257"/>
    <col min="9" max="9" width="11.85546875" style="1257" customWidth="1"/>
    <col min="10" max="10" width="13.140625" style="1257" customWidth="1"/>
    <col min="11" max="11" width="16.7109375" style="1257" customWidth="1"/>
    <col min="12" max="12" width="10.7109375" style="1257" customWidth="1"/>
    <col min="13" max="13" width="14.28515625" style="1257" customWidth="1"/>
    <col min="14" max="16384" width="9.140625" style="1257"/>
  </cols>
  <sheetData>
    <row r="1" spans="1:16" ht="15.75">
      <c r="A1" s="1954"/>
      <c r="B1" s="1954"/>
      <c r="C1" s="1954"/>
      <c r="D1" s="1954"/>
      <c r="E1" s="1954"/>
      <c r="F1" s="1954"/>
      <c r="G1" s="1955" t="s">
        <v>125</v>
      </c>
      <c r="H1" s="1955"/>
      <c r="I1" s="1955"/>
      <c r="J1" s="1571" t="s">
        <v>304</v>
      </c>
      <c r="K1" s="1572"/>
      <c r="L1" s="1572"/>
      <c r="M1" s="1572"/>
      <c r="N1" s="1572"/>
      <c r="O1" s="1963" t="s">
        <v>195</v>
      </c>
      <c r="P1" s="1963"/>
    </row>
    <row r="2" spans="1:16">
      <c r="A2" s="1573"/>
      <c r="B2" s="1573"/>
      <c r="C2" s="1573"/>
      <c r="D2" s="1573"/>
      <c r="E2" s="1573"/>
      <c r="F2" s="1956" t="s">
        <v>840</v>
      </c>
      <c r="G2" s="1956"/>
      <c r="H2" s="1956"/>
      <c r="I2" s="1956"/>
      <c r="J2" s="1574" t="s">
        <v>1319</v>
      </c>
      <c r="K2" s="1574"/>
      <c r="L2" s="1575"/>
      <c r="M2" s="1575"/>
      <c r="N2" s="1575"/>
      <c r="O2" s="1938"/>
      <c r="P2" s="1938"/>
    </row>
    <row r="3" spans="1:16" ht="25.5" customHeight="1">
      <c r="A3" s="1960" t="s">
        <v>498</v>
      </c>
      <c r="B3" s="1968" t="s">
        <v>870</v>
      </c>
      <c r="C3" s="1968"/>
      <c r="D3" s="1968"/>
      <c r="E3" s="1969"/>
      <c r="F3" s="1957" t="s">
        <v>2567</v>
      </c>
      <c r="G3" s="1958"/>
      <c r="H3" s="1958"/>
      <c r="I3" s="1959"/>
      <c r="J3" s="1939" t="s">
        <v>2502</v>
      </c>
      <c r="K3" s="1940"/>
      <c r="L3" s="1941" t="s">
        <v>2503</v>
      </c>
      <c r="M3" s="1940"/>
      <c r="N3" s="1939" t="s">
        <v>287</v>
      </c>
      <c r="O3" s="1940"/>
      <c r="P3" s="1942" t="s">
        <v>498</v>
      </c>
    </row>
    <row r="4" spans="1:16">
      <c r="A4" s="1960"/>
      <c r="B4" s="1970"/>
      <c r="C4" s="1970"/>
      <c r="D4" s="1970"/>
      <c r="E4" s="1971"/>
      <c r="F4" s="1949" t="s">
        <v>2568</v>
      </c>
      <c r="G4" s="1950"/>
      <c r="H4" s="1950"/>
      <c r="I4" s="1951"/>
      <c r="J4" s="1952" t="s">
        <v>191</v>
      </c>
      <c r="K4" s="1953"/>
      <c r="L4" s="1939" t="s">
        <v>2504</v>
      </c>
      <c r="M4" s="1940"/>
      <c r="N4" s="1945" t="s">
        <v>1185</v>
      </c>
      <c r="O4" s="1946"/>
      <c r="P4" s="1943"/>
    </row>
    <row r="5" spans="1:16">
      <c r="A5" s="1960"/>
      <c r="B5" s="1972" t="s">
        <v>2456</v>
      </c>
      <c r="C5" s="1966" t="s">
        <v>868</v>
      </c>
      <c r="D5" s="1966" t="s">
        <v>2457</v>
      </c>
      <c r="E5" s="1966" t="s">
        <v>869</v>
      </c>
      <c r="F5" s="1947" t="s">
        <v>2105</v>
      </c>
      <c r="G5" s="1961" t="s">
        <v>2106</v>
      </c>
      <c r="H5" s="1961" t="s">
        <v>2107</v>
      </c>
      <c r="I5" s="1961" t="s">
        <v>2458</v>
      </c>
      <c r="J5" s="1947" t="s">
        <v>1184</v>
      </c>
      <c r="K5" s="1947" t="s">
        <v>1290</v>
      </c>
      <c r="L5" s="1947" t="s">
        <v>2505</v>
      </c>
      <c r="M5" s="1947" t="s">
        <v>2506</v>
      </c>
      <c r="N5" s="1947" t="s">
        <v>1064</v>
      </c>
      <c r="O5" s="1947" t="s">
        <v>1063</v>
      </c>
      <c r="P5" s="1943"/>
    </row>
    <row r="6" spans="1:16" ht="24" customHeight="1">
      <c r="A6" s="1960"/>
      <c r="B6" s="1973"/>
      <c r="C6" s="1967"/>
      <c r="D6" s="1967"/>
      <c r="E6" s="1967"/>
      <c r="F6" s="1948"/>
      <c r="G6" s="1962"/>
      <c r="H6" s="1962"/>
      <c r="I6" s="1962"/>
      <c r="J6" s="1948"/>
      <c r="K6" s="1948"/>
      <c r="L6" s="1948"/>
      <c r="M6" s="1948"/>
      <c r="N6" s="1948"/>
      <c r="O6" s="1948"/>
      <c r="P6" s="1943"/>
    </row>
    <row r="7" spans="1:16">
      <c r="A7" s="1960"/>
      <c r="B7" s="1576">
        <v>1</v>
      </c>
      <c r="C7" s="1577">
        <v>2</v>
      </c>
      <c r="D7" s="1577">
        <v>3</v>
      </c>
      <c r="E7" s="1577">
        <v>4</v>
      </c>
      <c r="F7" s="1577">
        <v>5</v>
      </c>
      <c r="G7" s="1577">
        <v>6</v>
      </c>
      <c r="H7" s="1577">
        <v>7</v>
      </c>
      <c r="I7" s="1577">
        <v>8</v>
      </c>
      <c r="J7" s="1577">
        <v>9</v>
      </c>
      <c r="K7" s="1577">
        <v>10</v>
      </c>
      <c r="L7" s="1577">
        <v>11</v>
      </c>
      <c r="M7" s="1577">
        <v>12</v>
      </c>
      <c r="N7" s="1577">
        <v>13</v>
      </c>
      <c r="O7" s="1577">
        <v>14</v>
      </c>
      <c r="P7" s="1944"/>
    </row>
    <row r="8" spans="1:16" ht="9.75" customHeight="1">
      <c r="A8" s="1578" t="s">
        <v>192</v>
      </c>
      <c r="B8" s="1579" t="s">
        <v>298</v>
      </c>
      <c r="C8" s="1579">
        <v>11.14</v>
      </c>
      <c r="D8" s="1579" t="s">
        <v>298</v>
      </c>
      <c r="E8" s="1579" t="s">
        <v>298</v>
      </c>
      <c r="F8" s="1580">
        <v>157.88999999999999</v>
      </c>
      <c r="G8" s="1580">
        <v>135.24</v>
      </c>
      <c r="H8" s="1580">
        <v>120.79</v>
      </c>
      <c r="I8" s="1580">
        <v>154.58000000000001</v>
      </c>
      <c r="J8" s="1581">
        <v>22928.2</v>
      </c>
      <c r="K8" s="1581">
        <v>33657.5</v>
      </c>
      <c r="L8" s="1581">
        <v>10485.209999999999</v>
      </c>
      <c r="M8" s="1579" t="s">
        <v>298</v>
      </c>
      <c r="N8" s="1582">
        <v>71.216399999999993</v>
      </c>
      <c r="O8" s="1582">
        <v>74.149299999999997</v>
      </c>
      <c r="P8" s="1583" t="s">
        <v>192</v>
      </c>
    </row>
    <row r="9" spans="1:16" ht="9.75" customHeight="1">
      <c r="A9" s="1584" t="s">
        <v>757</v>
      </c>
      <c r="B9" s="1585" t="s">
        <v>298</v>
      </c>
      <c r="C9" s="1585">
        <v>5.54</v>
      </c>
      <c r="D9" s="1585" t="s">
        <v>298</v>
      </c>
      <c r="E9" s="1585" t="s">
        <v>298</v>
      </c>
      <c r="F9" s="1586">
        <v>174.92</v>
      </c>
      <c r="G9" s="1586">
        <v>142.36000000000001</v>
      </c>
      <c r="H9" s="1586">
        <v>129.05000000000001</v>
      </c>
      <c r="I9" s="1586">
        <v>171.21</v>
      </c>
      <c r="J9" s="1587">
        <v>24302.000000000004</v>
      </c>
      <c r="K9" s="1587">
        <v>35516.300000000003</v>
      </c>
      <c r="L9" s="1587">
        <v>10365.17</v>
      </c>
      <c r="M9" s="1585" t="s">
        <v>298</v>
      </c>
      <c r="N9" s="1588">
        <v>79.2102</v>
      </c>
      <c r="O9" s="1588">
        <v>81.815799999999996</v>
      </c>
      <c r="P9" s="1589" t="s">
        <v>757</v>
      </c>
    </row>
    <row r="10" spans="1:16" ht="9.75" customHeight="1">
      <c r="A10" s="1590" t="s">
        <v>866</v>
      </c>
      <c r="B10" s="1579" t="s">
        <v>298</v>
      </c>
      <c r="C10" s="1591">
        <v>8.0500000000000007</v>
      </c>
      <c r="D10" s="1579" t="s">
        <v>298</v>
      </c>
      <c r="E10" s="1591">
        <v>6.78</v>
      </c>
      <c r="F10" s="1592">
        <v>195.19</v>
      </c>
      <c r="G10" s="1592">
        <v>153.15</v>
      </c>
      <c r="H10" s="1592">
        <v>160.43</v>
      </c>
      <c r="I10" s="1592">
        <v>190.53</v>
      </c>
      <c r="J10" s="1593">
        <v>27027.45</v>
      </c>
      <c r="K10" s="1593">
        <v>34083.599999999999</v>
      </c>
      <c r="L10" s="1593">
        <v>15318.34</v>
      </c>
      <c r="M10" s="1579" t="s">
        <v>298</v>
      </c>
      <c r="N10" s="1594">
        <v>79.935900000000004</v>
      </c>
      <c r="O10" s="1594">
        <v>77.759299999999996</v>
      </c>
      <c r="P10" s="1595" t="s">
        <v>866</v>
      </c>
    </row>
    <row r="11" spans="1:16" ht="9.75" customHeight="1">
      <c r="A11" s="1584" t="s">
        <v>1051</v>
      </c>
      <c r="B11" s="1585" t="s">
        <v>298</v>
      </c>
      <c r="C11" s="1586">
        <v>6.97</v>
      </c>
      <c r="D11" s="1585" t="s">
        <v>298</v>
      </c>
      <c r="E11" s="1586">
        <v>7.35</v>
      </c>
      <c r="F11" s="1586">
        <v>213.22</v>
      </c>
      <c r="G11" s="1586">
        <v>157.18</v>
      </c>
      <c r="H11" s="1586">
        <v>177.2</v>
      </c>
      <c r="I11" s="1586">
        <v>207.83</v>
      </c>
      <c r="J11" s="1587">
        <v>30186.62</v>
      </c>
      <c r="K11" s="1587">
        <v>40731.9</v>
      </c>
      <c r="L11" s="1587">
        <v>21508.89</v>
      </c>
      <c r="M11" s="1585" t="s">
        <v>298</v>
      </c>
      <c r="N11" s="1588">
        <v>77.72</v>
      </c>
      <c r="O11" s="1588">
        <v>77.63</v>
      </c>
      <c r="P11" s="1589" t="s">
        <v>1051</v>
      </c>
    </row>
    <row r="12" spans="1:16" ht="9.75" customHeight="1">
      <c r="A12" s="1590" t="s">
        <v>1105</v>
      </c>
      <c r="B12" s="1579" t="s">
        <v>298</v>
      </c>
      <c r="C12" s="1592">
        <v>6.25</v>
      </c>
      <c r="D12" s="1579" t="s">
        <v>298</v>
      </c>
      <c r="E12" s="1592">
        <v>6.4</v>
      </c>
      <c r="F12" s="1592">
        <v>236.11</v>
      </c>
      <c r="G12" s="1592">
        <v>172.97</v>
      </c>
      <c r="H12" s="1592">
        <v>191.06</v>
      </c>
      <c r="I12" s="1592">
        <v>229.68</v>
      </c>
      <c r="J12" s="1593">
        <v>31208.949999999997</v>
      </c>
      <c r="K12" s="1593">
        <v>40579.300000000003</v>
      </c>
      <c r="L12" s="1593">
        <v>25026.06</v>
      </c>
      <c r="M12" s="1579" t="s">
        <v>298</v>
      </c>
      <c r="N12" s="1594">
        <v>77.674999999999997</v>
      </c>
      <c r="O12" s="1594">
        <v>77.800399999999996</v>
      </c>
      <c r="P12" s="1595" t="s">
        <v>1105</v>
      </c>
    </row>
    <row r="13" spans="1:16" ht="9.75" customHeight="1">
      <c r="A13" s="1584" t="s">
        <v>1231</v>
      </c>
      <c r="B13" s="1585" t="s">
        <v>298</v>
      </c>
      <c r="C13" s="1586">
        <v>5.53</v>
      </c>
      <c r="D13" s="1585" t="s">
        <v>298</v>
      </c>
      <c r="E13" s="1586">
        <v>5.92</v>
      </c>
      <c r="F13" s="1586">
        <v>100</v>
      </c>
      <c r="G13" s="1586">
        <v>100</v>
      </c>
      <c r="H13" s="1586">
        <v>100</v>
      </c>
      <c r="I13" s="1586">
        <v>100</v>
      </c>
      <c r="J13" s="1587">
        <v>34257.18</v>
      </c>
      <c r="K13" s="1587">
        <v>40097.399999999994</v>
      </c>
      <c r="L13" s="1587">
        <v>30355.56</v>
      </c>
      <c r="M13" s="1585" t="s">
        <v>298</v>
      </c>
      <c r="N13" s="1588">
        <v>78.268600000000006</v>
      </c>
      <c r="O13" s="1588">
        <v>78.400000000000006</v>
      </c>
      <c r="P13" s="1589" t="s">
        <v>1231</v>
      </c>
    </row>
    <row r="14" spans="1:16" ht="9.75" customHeight="1">
      <c r="A14" s="1590" t="s">
        <v>1263</v>
      </c>
      <c r="B14" s="1579" t="s">
        <v>298</v>
      </c>
      <c r="C14" s="1592">
        <v>5.94</v>
      </c>
      <c r="D14" s="1579" t="s">
        <v>298</v>
      </c>
      <c r="E14" s="1592">
        <v>5.44</v>
      </c>
      <c r="F14" s="1592">
        <v>110.81</v>
      </c>
      <c r="G14" s="1592">
        <v>100.36</v>
      </c>
      <c r="H14" s="1592">
        <v>55.04</v>
      </c>
      <c r="I14" s="1592">
        <v>108.28</v>
      </c>
      <c r="J14" s="1593">
        <v>34655.899999999994</v>
      </c>
      <c r="K14" s="1593">
        <v>43540.840000000004</v>
      </c>
      <c r="L14" s="1593">
        <v>33679.379999999997</v>
      </c>
      <c r="M14" s="1579" t="s">
        <v>298</v>
      </c>
      <c r="N14" s="1594">
        <v>79.132999999999996</v>
      </c>
      <c r="O14" s="1594">
        <v>80.598799999999997</v>
      </c>
      <c r="P14" s="1595" t="s">
        <v>1263</v>
      </c>
    </row>
    <row r="15" spans="1:16" ht="9.75" customHeight="1">
      <c r="A15" s="1584" t="s">
        <v>1392</v>
      </c>
      <c r="B15" s="1585" t="s">
        <v>298</v>
      </c>
      <c r="C15" s="1586">
        <v>5.54</v>
      </c>
      <c r="D15" s="1585" t="s">
        <v>298</v>
      </c>
      <c r="E15" s="1586">
        <v>5.78</v>
      </c>
      <c r="F15" s="1586">
        <v>126.75</v>
      </c>
      <c r="G15" s="1586">
        <v>99.92</v>
      </c>
      <c r="H15" s="1586">
        <v>123.56</v>
      </c>
      <c r="I15" s="1586">
        <v>125.9</v>
      </c>
      <c r="J15" s="1587">
        <v>36668.170000000006</v>
      </c>
      <c r="K15" s="1587">
        <v>52939.600000000006</v>
      </c>
      <c r="L15" s="1587">
        <v>32943.46</v>
      </c>
      <c r="M15" s="1585" t="s">
        <v>298</v>
      </c>
      <c r="N15" s="1588">
        <v>82.107699999999994</v>
      </c>
      <c r="O15" s="1588">
        <v>83.702200000000005</v>
      </c>
      <c r="P15" s="1589" t="s">
        <v>1392</v>
      </c>
    </row>
    <row r="16" spans="1:16" ht="9.75" customHeight="1">
      <c r="A16" s="1590" t="s">
        <v>1511</v>
      </c>
      <c r="B16" s="1579" t="s">
        <v>298</v>
      </c>
      <c r="C16" s="1592">
        <v>5.52</v>
      </c>
      <c r="D16" s="1579" t="s">
        <v>298</v>
      </c>
      <c r="E16" s="1592">
        <v>5.48</v>
      </c>
      <c r="F16" s="1592">
        <v>145.43</v>
      </c>
      <c r="G16" s="1592">
        <v>97.27</v>
      </c>
      <c r="H16" s="1592">
        <v>135.87</v>
      </c>
      <c r="I16" s="1592">
        <v>143.75</v>
      </c>
      <c r="J16" s="1593">
        <v>40535.040000000008</v>
      </c>
      <c r="K16" s="1593">
        <v>56060.799999999988</v>
      </c>
      <c r="L16" s="1593">
        <v>32716.51</v>
      </c>
      <c r="M16" s="1579" t="s">
        <v>298</v>
      </c>
      <c r="N16" s="1594">
        <v>84.020799999999994</v>
      </c>
      <c r="O16" s="1594">
        <v>84.5</v>
      </c>
      <c r="P16" s="1595" t="s">
        <v>1511</v>
      </c>
    </row>
    <row r="17" spans="1:16" ht="9.75" customHeight="1">
      <c r="A17" s="1584" t="s">
        <v>1602</v>
      </c>
      <c r="B17" s="1585" t="s">
        <v>298</v>
      </c>
      <c r="C17" s="1585">
        <v>6.02</v>
      </c>
      <c r="D17" s="1585" t="s">
        <v>298</v>
      </c>
      <c r="E17" s="1586">
        <v>5.6476114685594103</v>
      </c>
      <c r="F17" s="1586">
        <v>147.1</v>
      </c>
      <c r="G17" s="1586">
        <v>90.62</v>
      </c>
      <c r="H17" s="1586">
        <v>139.63999999999999</v>
      </c>
      <c r="I17" s="1586">
        <v>145.28</v>
      </c>
      <c r="J17" s="1587">
        <v>33674.120000000003</v>
      </c>
      <c r="K17" s="1587">
        <v>48517.849384999994</v>
      </c>
      <c r="L17" s="1587">
        <v>36037.03</v>
      </c>
      <c r="M17" s="1585" t="s">
        <v>298</v>
      </c>
      <c r="N17" s="1588">
        <v>84.781146000000007</v>
      </c>
      <c r="O17" s="1588">
        <v>84.9</v>
      </c>
      <c r="P17" s="1589" t="s">
        <v>1602</v>
      </c>
    </row>
    <row r="18" spans="1:16" ht="9.75" customHeight="1">
      <c r="A18" s="248" t="s">
        <v>1668</v>
      </c>
      <c r="B18" s="1664" t="s">
        <v>298</v>
      </c>
      <c r="C18" s="1665">
        <v>5.64</v>
      </c>
      <c r="D18" s="1664" t="s">
        <v>298</v>
      </c>
      <c r="E18" s="1602">
        <v>5.56</v>
      </c>
      <c r="F18" s="1602">
        <v>166.07</v>
      </c>
      <c r="G18" s="1602">
        <v>90.57</v>
      </c>
      <c r="H18" s="1602">
        <v>157.72999999999999</v>
      </c>
      <c r="I18" s="1602">
        <v>163.71</v>
      </c>
      <c r="J18" s="1603">
        <v>38758.32</v>
      </c>
      <c r="K18" s="1603">
        <v>54332.079999999994</v>
      </c>
      <c r="L18" s="1603">
        <v>46391.44</v>
      </c>
      <c r="M18" s="1664" t="s">
        <v>298</v>
      </c>
      <c r="N18" s="1666">
        <v>84.806299999999993</v>
      </c>
      <c r="O18" s="1666">
        <v>84.814599999999999</v>
      </c>
      <c r="P18" s="1667" t="s">
        <v>1668</v>
      </c>
    </row>
    <row r="19" spans="1:16" ht="9.75" customHeight="1">
      <c r="A19" s="633" t="s">
        <v>2018</v>
      </c>
      <c r="B19" s="1585" t="s">
        <v>298</v>
      </c>
      <c r="C19" s="1597">
        <v>7.56</v>
      </c>
      <c r="D19" s="1585" t="s">
        <v>298</v>
      </c>
      <c r="E19" s="1598">
        <v>6.15</v>
      </c>
      <c r="F19" s="1598">
        <v>185.83</v>
      </c>
      <c r="G19" s="1598">
        <v>84.49</v>
      </c>
      <c r="H19" s="1598">
        <v>162.66999999999999</v>
      </c>
      <c r="I19" s="1598">
        <v>182.18</v>
      </c>
      <c r="J19" s="1599">
        <v>52082.659999999996</v>
      </c>
      <c r="K19" s="1599">
        <v>79573.499999999985</v>
      </c>
      <c r="L19" s="1599">
        <v>41826.729767739998</v>
      </c>
      <c r="M19" s="1585" t="s">
        <v>298</v>
      </c>
      <c r="N19" s="1600">
        <v>86.392700000000005</v>
      </c>
      <c r="O19" s="1600">
        <v>93.45</v>
      </c>
      <c r="P19" s="1601" t="s">
        <v>2018</v>
      </c>
    </row>
    <row r="20" spans="1:16" ht="9.75" customHeight="1">
      <c r="A20" s="249" t="s">
        <v>576</v>
      </c>
      <c r="B20" s="1579" t="s">
        <v>298</v>
      </c>
      <c r="C20" s="1592">
        <v>5.36</v>
      </c>
      <c r="D20" s="1579" t="s">
        <v>298</v>
      </c>
      <c r="E20" s="1592">
        <v>5.5433772763430422</v>
      </c>
      <c r="F20" s="1592">
        <v>163.01</v>
      </c>
      <c r="G20" s="1592">
        <v>80.459999999999994</v>
      </c>
      <c r="H20" s="1592">
        <v>174.04</v>
      </c>
      <c r="I20" s="1592">
        <v>161.24</v>
      </c>
      <c r="J20" s="1380">
        <v>3473.43</v>
      </c>
      <c r="K20" s="1593">
        <v>4552.5600000000004</v>
      </c>
      <c r="L20" s="1593">
        <v>45842.2</v>
      </c>
      <c r="M20" s="1579" t="s">
        <v>298</v>
      </c>
      <c r="N20" s="1594">
        <v>84.803200000000004</v>
      </c>
      <c r="O20" s="1594">
        <v>84.806100000000001</v>
      </c>
      <c r="P20" s="1595" t="s">
        <v>576</v>
      </c>
    </row>
    <row r="21" spans="1:16" ht="9.75" customHeight="1">
      <c r="A21" s="622" t="s">
        <v>577</v>
      </c>
      <c r="B21" s="1585" t="s">
        <v>298</v>
      </c>
      <c r="C21" s="1586">
        <v>5.54</v>
      </c>
      <c r="D21" s="1585" t="s">
        <v>298</v>
      </c>
      <c r="E21" s="1586">
        <v>5.5322003983305299</v>
      </c>
      <c r="F21" s="1586">
        <v>165.96</v>
      </c>
      <c r="G21" s="1586">
        <v>80.42</v>
      </c>
      <c r="H21" s="1586">
        <v>173.43</v>
      </c>
      <c r="I21" s="1586">
        <v>164.13</v>
      </c>
      <c r="J21" s="1604">
        <v>3383.07</v>
      </c>
      <c r="K21" s="1587">
        <v>5709.3</v>
      </c>
      <c r="L21" s="1587">
        <v>48059.993918089996</v>
      </c>
      <c r="M21" s="1585" t="s">
        <v>298</v>
      </c>
      <c r="N21" s="1588">
        <v>84.969099999999997</v>
      </c>
      <c r="O21" s="1588">
        <v>85.2</v>
      </c>
      <c r="P21" s="1589" t="s">
        <v>577</v>
      </c>
    </row>
    <row r="22" spans="1:16" ht="9.75" customHeight="1">
      <c r="A22" s="249" t="s">
        <v>571</v>
      </c>
      <c r="B22" s="1579" t="s">
        <v>298</v>
      </c>
      <c r="C22" s="1592">
        <v>5.59</v>
      </c>
      <c r="D22" s="1579" t="s">
        <v>298</v>
      </c>
      <c r="E22" s="1592">
        <v>5.5</v>
      </c>
      <c r="F22" s="1592">
        <v>181.8</v>
      </c>
      <c r="G22" s="1592">
        <v>84.68</v>
      </c>
      <c r="H22" s="1592">
        <v>174.42</v>
      </c>
      <c r="I22" s="1592">
        <v>178.9</v>
      </c>
      <c r="J22" s="1380">
        <v>4165.45</v>
      </c>
      <c r="K22" s="1593">
        <v>6089.4</v>
      </c>
      <c r="L22" s="1593">
        <v>46199.804870009997</v>
      </c>
      <c r="M22" s="1579" t="s">
        <v>298</v>
      </c>
      <c r="N22" s="1594">
        <v>85.264499999999998</v>
      </c>
      <c r="O22" s="1594">
        <v>85.5</v>
      </c>
      <c r="P22" s="1595" t="s">
        <v>571</v>
      </c>
    </row>
    <row r="23" spans="1:16" ht="9.75" customHeight="1">
      <c r="A23" s="622" t="s">
        <v>578</v>
      </c>
      <c r="B23" s="1585" t="s">
        <v>298</v>
      </c>
      <c r="C23" s="1586">
        <v>5.7</v>
      </c>
      <c r="D23" s="1585" t="s">
        <v>298</v>
      </c>
      <c r="E23" s="1586">
        <v>5.44</v>
      </c>
      <c r="F23" s="1586">
        <v>183.04</v>
      </c>
      <c r="G23" s="1586">
        <v>87.68</v>
      </c>
      <c r="H23" s="1586">
        <v>174.35</v>
      </c>
      <c r="I23" s="1586">
        <v>180.13</v>
      </c>
      <c r="J23" s="1604">
        <v>4727.53</v>
      </c>
      <c r="K23" s="1587">
        <v>6152.2</v>
      </c>
      <c r="L23" s="1587">
        <v>46459.267033059994</v>
      </c>
      <c r="M23" s="1585" t="s">
        <v>298</v>
      </c>
      <c r="N23" s="1588">
        <v>85.610699999999994</v>
      </c>
      <c r="O23" s="1588">
        <v>85.666700000000006</v>
      </c>
      <c r="P23" s="1589" t="s">
        <v>578</v>
      </c>
    </row>
    <row r="24" spans="1:16" ht="9.75" customHeight="1">
      <c r="A24" s="249" t="s">
        <v>579</v>
      </c>
      <c r="B24" s="1579" t="s">
        <v>298</v>
      </c>
      <c r="C24" s="1592">
        <v>5.98</v>
      </c>
      <c r="D24" s="1579" t="s">
        <v>298</v>
      </c>
      <c r="E24" s="1592">
        <v>5.4813491177127638</v>
      </c>
      <c r="F24" s="1592">
        <v>183.55</v>
      </c>
      <c r="G24" s="1592">
        <v>86.73</v>
      </c>
      <c r="H24" s="1592">
        <v>128.16999999999999</v>
      </c>
      <c r="I24" s="1592">
        <v>178.72</v>
      </c>
      <c r="J24" s="1380">
        <v>4041.39</v>
      </c>
      <c r="K24" s="1593">
        <v>6894.41</v>
      </c>
      <c r="L24" s="1593">
        <v>44881.138574560006</v>
      </c>
      <c r="M24" s="1579" t="s">
        <v>298</v>
      </c>
      <c r="N24" s="1594">
        <v>85.774699999999996</v>
      </c>
      <c r="O24" s="1594">
        <v>85.8</v>
      </c>
      <c r="P24" s="1595" t="s">
        <v>579</v>
      </c>
    </row>
    <row r="25" spans="1:16" ht="9.75" customHeight="1">
      <c r="A25" s="622" t="s">
        <v>572</v>
      </c>
      <c r="B25" s="1585" t="s">
        <v>298</v>
      </c>
      <c r="C25" s="1586">
        <v>6.05</v>
      </c>
      <c r="D25" s="1585" t="s">
        <v>298</v>
      </c>
      <c r="E25" s="1586">
        <v>5.54</v>
      </c>
      <c r="F25" s="1586">
        <v>199.94</v>
      </c>
      <c r="G25" s="1586">
        <v>88.3</v>
      </c>
      <c r="H25" s="1586">
        <v>119.07</v>
      </c>
      <c r="I25" s="1586">
        <v>193.68</v>
      </c>
      <c r="J25" s="1604">
        <v>4907.68</v>
      </c>
      <c r="K25" s="1587">
        <v>7643.4</v>
      </c>
      <c r="L25" s="1587">
        <v>46153.933091890001</v>
      </c>
      <c r="M25" s="1585" t="s">
        <v>298</v>
      </c>
      <c r="N25" s="1588">
        <v>85.8</v>
      </c>
      <c r="O25" s="1588">
        <v>85.8</v>
      </c>
      <c r="P25" s="1589" t="s">
        <v>572</v>
      </c>
    </row>
    <row r="26" spans="1:16" ht="9.75" customHeight="1">
      <c r="A26" s="1590" t="s">
        <v>580</v>
      </c>
      <c r="B26" s="1579" t="s">
        <v>298</v>
      </c>
      <c r="C26" s="1592">
        <v>5.86</v>
      </c>
      <c r="D26" s="1579" t="s">
        <v>298</v>
      </c>
      <c r="E26" s="1592">
        <v>5.62</v>
      </c>
      <c r="F26" s="1592">
        <v>203.59</v>
      </c>
      <c r="G26" s="1592">
        <v>87.84</v>
      </c>
      <c r="H26" s="1592">
        <v>126.63</v>
      </c>
      <c r="I26" s="1592">
        <v>197.38</v>
      </c>
      <c r="J26" s="1593">
        <v>4850.37</v>
      </c>
      <c r="K26" s="1593">
        <v>6864.4299999999994</v>
      </c>
      <c r="L26" s="1593">
        <v>44951.223106760001</v>
      </c>
      <c r="M26" s="1579" t="s">
        <v>298</v>
      </c>
      <c r="N26" s="1594">
        <v>85.954499999999996</v>
      </c>
      <c r="O26" s="1594">
        <v>86</v>
      </c>
      <c r="P26" s="1595" t="s">
        <v>580</v>
      </c>
    </row>
    <row r="27" spans="1:16" ht="9.75" customHeight="1">
      <c r="A27" s="1584" t="s">
        <v>581</v>
      </c>
      <c r="B27" s="1585" t="s">
        <v>298</v>
      </c>
      <c r="C27" s="1586">
        <v>6.17</v>
      </c>
      <c r="D27" s="1585" t="s">
        <v>298</v>
      </c>
      <c r="E27" s="1586">
        <v>5.6861320951678174</v>
      </c>
      <c r="F27" s="1586">
        <v>186.49</v>
      </c>
      <c r="G27" s="1586">
        <v>76.98</v>
      </c>
      <c r="H27" s="1586">
        <v>120.51</v>
      </c>
      <c r="I27" s="1586">
        <v>180.89</v>
      </c>
      <c r="J27" s="1587">
        <v>4294.53</v>
      </c>
      <c r="K27" s="1587">
        <v>6491.6</v>
      </c>
      <c r="L27" s="1587">
        <v>45947.761214569997</v>
      </c>
      <c r="M27" s="1585" t="s">
        <v>298</v>
      </c>
      <c r="N27" s="1588">
        <v>86</v>
      </c>
      <c r="O27" s="1588">
        <v>86</v>
      </c>
      <c r="P27" s="1589" t="s">
        <v>581</v>
      </c>
    </row>
    <row r="28" spans="1:16" ht="9.75" customHeight="1">
      <c r="A28" s="1590" t="s">
        <v>573</v>
      </c>
      <c r="B28" s="1579" t="s">
        <v>298</v>
      </c>
      <c r="C28" s="1592">
        <v>6.22</v>
      </c>
      <c r="D28" s="1579" t="s">
        <v>298</v>
      </c>
      <c r="E28" s="1592">
        <v>5.7496501613063966</v>
      </c>
      <c r="F28" s="1592">
        <v>193.68</v>
      </c>
      <c r="G28" s="1592">
        <v>89.55</v>
      </c>
      <c r="H28" s="1592">
        <v>167.87</v>
      </c>
      <c r="I28" s="1592">
        <v>189.85</v>
      </c>
      <c r="J28" s="1593">
        <v>4762.22</v>
      </c>
      <c r="K28" s="1593">
        <v>7629.5</v>
      </c>
      <c r="L28" s="1593">
        <v>44146.782365560008</v>
      </c>
      <c r="M28" s="1579" t="s">
        <v>298</v>
      </c>
      <c r="N28" s="1594">
        <v>86.063599999999994</v>
      </c>
      <c r="O28" s="1594">
        <v>86.2</v>
      </c>
      <c r="P28" s="1595" t="s">
        <v>573</v>
      </c>
    </row>
    <row r="29" spans="1:16" ht="9.75" customHeight="1">
      <c r="A29" s="1584" t="s">
        <v>582</v>
      </c>
      <c r="B29" s="1585" t="s">
        <v>298</v>
      </c>
      <c r="C29" s="1586">
        <v>6.29</v>
      </c>
      <c r="D29" s="1585" t="s">
        <v>298</v>
      </c>
      <c r="E29" s="1586">
        <v>5.8114153321578765</v>
      </c>
      <c r="F29" s="1586">
        <v>191.05</v>
      </c>
      <c r="G29" s="1586">
        <v>84.43</v>
      </c>
      <c r="H29" s="1586">
        <v>182.42</v>
      </c>
      <c r="I29" s="1586">
        <v>187.85</v>
      </c>
      <c r="J29" s="1587">
        <v>4738.67</v>
      </c>
      <c r="K29" s="1587">
        <v>6958.9</v>
      </c>
      <c r="L29" s="1587">
        <v>44017.551984780002</v>
      </c>
      <c r="M29" s="1585" t="s">
        <v>298</v>
      </c>
      <c r="N29" s="1588">
        <v>86.237399999999994</v>
      </c>
      <c r="O29" s="1588">
        <v>86.45</v>
      </c>
      <c r="P29" s="1589" t="s">
        <v>582</v>
      </c>
    </row>
    <row r="30" spans="1:16" ht="9.75" customHeight="1">
      <c r="A30" s="1590" t="s">
        <v>583</v>
      </c>
      <c r="B30" s="1579" t="s">
        <v>298</v>
      </c>
      <c r="C30" s="1592">
        <v>7.42</v>
      </c>
      <c r="D30" s="1579" t="s">
        <v>298</v>
      </c>
      <c r="E30" s="1592">
        <v>5.9894246228676229</v>
      </c>
      <c r="F30" s="1592">
        <v>173.76</v>
      </c>
      <c r="G30" s="1592">
        <v>78.489999999999995</v>
      </c>
      <c r="H30" s="1592">
        <v>176.06</v>
      </c>
      <c r="I30" s="1592">
        <v>171.3</v>
      </c>
      <c r="J30" s="1593">
        <v>3830.29</v>
      </c>
      <c r="K30" s="1593">
        <v>6881.4</v>
      </c>
      <c r="L30" s="1593">
        <v>42202.00256062999</v>
      </c>
      <c r="M30" s="1579" t="s">
        <v>298</v>
      </c>
      <c r="N30" s="1594">
        <v>87.341700000000003</v>
      </c>
      <c r="O30" s="1594">
        <v>89</v>
      </c>
      <c r="P30" s="1595" t="s">
        <v>583</v>
      </c>
    </row>
    <row r="31" spans="1:16" ht="9.75" customHeight="1">
      <c r="A31" s="1584" t="s">
        <v>574</v>
      </c>
      <c r="B31" s="1585" t="s">
        <v>298</v>
      </c>
      <c r="C31" s="1586">
        <v>7.56</v>
      </c>
      <c r="D31" s="1585" t="s">
        <v>298</v>
      </c>
      <c r="E31" s="1586">
        <v>6.15</v>
      </c>
      <c r="F31" s="1586">
        <v>204.09</v>
      </c>
      <c r="G31" s="1586">
        <v>82.28</v>
      </c>
      <c r="H31" s="1586">
        <v>176.42</v>
      </c>
      <c r="I31" s="1586">
        <v>199.71</v>
      </c>
      <c r="J31" s="1587">
        <v>4908.03</v>
      </c>
      <c r="K31" s="1587">
        <v>7706.4</v>
      </c>
      <c r="L31" s="1587">
        <v>41826.729767739998</v>
      </c>
      <c r="M31" s="1585" t="s">
        <v>298</v>
      </c>
      <c r="N31" s="1588">
        <v>92.135800000000003</v>
      </c>
      <c r="O31" s="1588">
        <v>93.45</v>
      </c>
      <c r="P31" s="1589" t="s">
        <v>574</v>
      </c>
    </row>
    <row r="32" spans="1:16" ht="13.5" customHeight="1">
      <c r="A32" s="1605" t="s">
        <v>2300</v>
      </c>
      <c r="B32" s="1606">
        <f>B44</f>
        <v>9.74</v>
      </c>
      <c r="C32" s="1602" t="s">
        <v>298</v>
      </c>
      <c r="D32" s="1606">
        <f>D44</f>
        <v>9.02</v>
      </c>
      <c r="E32" s="1602" t="s">
        <v>298</v>
      </c>
      <c r="F32" s="1602">
        <v>201.69</v>
      </c>
      <c r="G32" s="1602">
        <v>89.63</v>
      </c>
      <c r="H32" s="1602">
        <v>169.9</v>
      </c>
      <c r="I32" s="1602">
        <v>197.39</v>
      </c>
      <c r="J32" s="1603">
        <f>SUM(J33:J44)</f>
        <v>55558.770000000004</v>
      </c>
      <c r="K32" s="1603">
        <v>68430.5</v>
      </c>
      <c r="L32" s="1603">
        <f>L44</f>
        <v>31203</v>
      </c>
      <c r="M32" s="1607">
        <f>M44</f>
        <v>24753.9</v>
      </c>
      <c r="N32" s="1642">
        <v>99.422600000000003</v>
      </c>
      <c r="O32" s="1642">
        <f>O44</f>
        <v>106</v>
      </c>
      <c r="P32" s="1608" t="s">
        <v>2300</v>
      </c>
    </row>
    <row r="33" spans="1:16" ht="9.75" customHeight="1">
      <c r="A33" s="1584" t="s">
        <v>576</v>
      </c>
      <c r="B33" s="1585" t="s">
        <v>298</v>
      </c>
      <c r="C33" s="1586">
        <v>7.48</v>
      </c>
      <c r="D33" s="1585" t="s">
        <v>298</v>
      </c>
      <c r="E33" s="1586">
        <v>6.325224955699249</v>
      </c>
      <c r="F33" s="1586">
        <v>178.13</v>
      </c>
      <c r="G33" s="1586">
        <v>80.430000000000007</v>
      </c>
      <c r="H33" s="1586">
        <v>198.4</v>
      </c>
      <c r="I33" s="1586">
        <v>176.33</v>
      </c>
      <c r="J33" s="1587">
        <v>3984.82</v>
      </c>
      <c r="K33" s="1587">
        <v>7084.4</v>
      </c>
      <c r="L33" s="1587">
        <v>39599.907246380004</v>
      </c>
      <c r="M33" s="1585" t="s">
        <v>298</v>
      </c>
      <c r="N33" s="1588">
        <v>93.956800000000001</v>
      </c>
      <c r="O33" s="1588">
        <v>94.7</v>
      </c>
      <c r="P33" s="1589" t="s">
        <v>576</v>
      </c>
    </row>
    <row r="34" spans="1:16" ht="9.75" customHeight="1">
      <c r="A34" s="1590" t="s">
        <v>577</v>
      </c>
      <c r="B34" s="1579" t="s">
        <v>298</v>
      </c>
      <c r="C34" s="1592">
        <v>9.52</v>
      </c>
      <c r="D34" s="1579" t="s">
        <v>298</v>
      </c>
      <c r="E34" s="1592">
        <v>6.6609199681544995</v>
      </c>
      <c r="F34" s="1592">
        <v>187.77</v>
      </c>
      <c r="G34" s="1592">
        <v>87.37</v>
      </c>
      <c r="H34" s="1592">
        <v>202.37</v>
      </c>
      <c r="I34" s="1592">
        <v>185.67</v>
      </c>
      <c r="J34" s="1593">
        <v>4607</v>
      </c>
      <c r="K34" s="1593">
        <v>7305.7999999999993</v>
      </c>
      <c r="L34" s="1593">
        <v>39065.793945680001</v>
      </c>
      <c r="M34" s="1579" t="s">
        <v>298</v>
      </c>
      <c r="N34" s="1594">
        <v>94.9</v>
      </c>
      <c r="O34" s="1594">
        <v>95</v>
      </c>
      <c r="P34" s="1595" t="s">
        <v>577</v>
      </c>
    </row>
    <row r="35" spans="1:16" ht="9.75" customHeight="1">
      <c r="A35" s="1584" t="s">
        <v>571</v>
      </c>
      <c r="B35" s="1585" t="s">
        <v>298</v>
      </c>
      <c r="C35" s="1586">
        <v>9.1</v>
      </c>
      <c r="D35" s="1585" t="s">
        <v>298</v>
      </c>
      <c r="E35" s="1586">
        <v>6.9598855175087682</v>
      </c>
      <c r="F35" s="1586">
        <v>179.73</v>
      </c>
      <c r="G35" s="1586">
        <v>85.98</v>
      </c>
      <c r="H35" s="1586">
        <v>197.24</v>
      </c>
      <c r="I35" s="1586">
        <v>177.92</v>
      </c>
      <c r="J35" s="1587">
        <v>3905.07</v>
      </c>
      <c r="K35" s="1587">
        <v>6559.6000000000013</v>
      </c>
      <c r="L35" s="1587">
        <v>36476.406830829997</v>
      </c>
      <c r="M35" s="1585" t="s">
        <v>298</v>
      </c>
      <c r="N35" s="1588">
        <v>95.619</v>
      </c>
      <c r="O35" s="1588">
        <v>96</v>
      </c>
      <c r="P35" s="1589" t="s">
        <v>571</v>
      </c>
    </row>
    <row r="36" spans="1:16" ht="9.75" customHeight="1">
      <c r="A36" s="1590" t="s">
        <v>578</v>
      </c>
      <c r="B36" s="1579" t="s">
        <v>298</v>
      </c>
      <c r="C36" s="1592">
        <v>8.91</v>
      </c>
      <c r="D36" s="1579" t="s">
        <v>298</v>
      </c>
      <c r="E36" s="1592">
        <v>7.2341355183939138</v>
      </c>
      <c r="F36" s="1592">
        <v>190.53</v>
      </c>
      <c r="G36" s="1592">
        <v>86.08</v>
      </c>
      <c r="H36" s="1592">
        <v>173.34</v>
      </c>
      <c r="I36" s="1592">
        <v>187.03</v>
      </c>
      <c r="J36" s="1593">
        <v>4356.62</v>
      </c>
      <c r="K36" s="1593">
        <v>6412.04</v>
      </c>
      <c r="L36" s="1593">
        <v>35808.734135990002</v>
      </c>
      <c r="M36" s="1579" t="s">
        <v>298</v>
      </c>
      <c r="N36" s="1594">
        <v>96.65</v>
      </c>
      <c r="O36" s="1594">
        <v>97</v>
      </c>
      <c r="P36" s="1595" t="s">
        <v>578</v>
      </c>
    </row>
    <row r="37" spans="1:16" ht="9.75" customHeight="1">
      <c r="A37" s="1584" t="s">
        <v>579</v>
      </c>
      <c r="B37" s="1585" t="s">
        <v>298</v>
      </c>
      <c r="C37" s="1586">
        <v>8.85</v>
      </c>
      <c r="D37" s="1585" t="s">
        <v>298</v>
      </c>
      <c r="E37" s="1586">
        <v>7.4767067592749425</v>
      </c>
      <c r="F37" s="1586">
        <v>210.96</v>
      </c>
      <c r="G37" s="1586">
        <v>84.75</v>
      </c>
      <c r="H37" s="1586">
        <v>147.69999999999999</v>
      </c>
      <c r="I37" s="1586">
        <v>205.02</v>
      </c>
      <c r="J37" s="1587">
        <v>5092.5600000000004</v>
      </c>
      <c r="K37" s="1587">
        <v>5885.2000000000007</v>
      </c>
      <c r="L37" s="1587">
        <v>33786.26328449</v>
      </c>
      <c r="M37" s="1585" t="s">
        <v>298</v>
      </c>
      <c r="N37" s="1588">
        <v>97.636399999999995</v>
      </c>
      <c r="O37" s="1588">
        <v>98</v>
      </c>
      <c r="P37" s="1589" t="s">
        <v>579</v>
      </c>
    </row>
    <row r="38" spans="1:16" ht="9.75" customHeight="1">
      <c r="A38" s="1590" t="s">
        <v>572</v>
      </c>
      <c r="B38" s="1579" t="s">
        <v>298</v>
      </c>
      <c r="C38" s="1592">
        <v>8.7100000000000009</v>
      </c>
      <c r="D38" s="1579" t="s">
        <v>298</v>
      </c>
      <c r="E38" s="1592">
        <v>7.6969543717689382</v>
      </c>
      <c r="F38" s="1592">
        <v>226.02</v>
      </c>
      <c r="G38" s="1592">
        <v>85.98</v>
      </c>
      <c r="H38" s="1592">
        <v>137.56</v>
      </c>
      <c r="I38" s="1592">
        <v>218.7</v>
      </c>
      <c r="J38" s="1593">
        <v>5365.19</v>
      </c>
      <c r="K38" s="1593">
        <v>5249</v>
      </c>
      <c r="L38" s="1593">
        <v>33747.739202849996</v>
      </c>
      <c r="M38" s="1579" t="s">
        <v>298</v>
      </c>
      <c r="N38" s="1594">
        <v>98.857100000000003</v>
      </c>
      <c r="O38" s="1594">
        <v>99</v>
      </c>
      <c r="P38" s="1595" t="s">
        <v>572</v>
      </c>
    </row>
    <row r="39" spans="1:16" ht="9.75" customHeight="1">
      <c r="A39" s="1584" t="s">
        <v>580</v>
      </c>
      <c r="B39" s="1585" t="s">
        <v>298</v>
      </c>
      <c r="C39" s="1586">
        <v>8.57</v>
      </c>
      <c r="D39" s="1585" t="s">
        <v>298</v>
      </c>
      <c r="E39" s="1586">
        <v>7.9212793503700807</v>
      </c>
      <c r="F39" s="1586">
        <v>222.56</v>
      </c>
      <c r="G39" s="1586">
        <v>100.99</v>
      </c>
      <c r="H39" s="1586">
        <v>140.91</v>
      </c>
      <c r="I39" s="1586">
        <v>216.01</v>
      </c>
      <c r="J39" s="1587">
        <v>5136.24</v>
      </c>
      <c r="K39" s="1587">
        <v>5387.3</v>
      </c>
      <c r="L39" s="1587">
        <v>32222.554245490002</v>
      </c>
      <c r="M39" s="1585" t="s">
        <v>298</v>
      </c>
      <c r="N39" s="1588">
        <v>99.869600000000005</v>
      </c>
      <c r="O39" s="1588">
        <v>100</v>
      </c>
      <c r="P39" s="1589" t="s">
        <v>580</v>
      </c>
    </row>
    <row r="40" spans="1:16" ht="9.75" customHeight="1">
      <c r="A40" s="1590" t="s">
        <v>581</v>
      </c>
      <c r="B40" s="1579" t="s">
        <v>298</v>
      </c>
      <c r="C40" s="1592">
        <v>9.33</v>
      </c>
      <c r="D40" s="1579" t="s">
        <v>298</v>
      </c>
      <c r="E40" s="1592">
        <v>8.14</v>
      </c>
      <c r="F40" s="1592">
        <v>202.54</v>
      </c>
      <c r="G40" s="1592">
        <v>101</v>
      </c>
      <c r="H40" s="1592">
        <v>139.63</v>
      </c>
      <c r="I40" s="1592">
        <v>197.28</v>
      </c>
      <c r="J40" s="1593">
        <v>4630.18</v>
      </c>
      <c r="K40" s="1593">
        <v>4423</v>
      </c>
      <c r="L40" s="1593">
        <v>32266.974350679997</v>
      </c>
      <c r="M40" s="1579" t="s">
        <v>298</v>
      </c>
      <c r="N40" s="1594">
        <v>100.9474</v>
      </c>
      <c r="O40" s="1594">
        <v>101</v>
      </c>
      <c r="P40" s="1595" t="s">
        <v>581</v>
      </c>
    </row>
    <row r="41" spans="1:16" ht="9.75" customHeight="1">
      <c r="A41" s="1584" t="s">
        <v>573</v>
      </c>
      <c r="B41" s="1585" t="s">
        <v>298</v>
      </c>
      <c r="C41" s="1586">
        <v>8.7799999999999994</v>
      </c>
      <c r="D41" s="1585" t="s">
        <v>298</v>
      </c>
      <c r="E41" s="1586">
        <v>8.39</v>
      </c>
      <c r="F41" s="1586">
        <v>204.56</v>
      </c>
      <c r="G41" s="1586">
        <v>101</v>
      </c>
      <c r="H41" s="1586">
        <v>174.57</v>
      </c>
      <c r="I41" s="1586">
        <v>200.58</v>
      </c>
      <c r="J41" s="1587">
        <v>4643.9399999999996</v>
      </c>
      <c r="K41" s="1587">
        <v>5279.6</v>
      </c>
      <c r="L41" s="1587">
        <v>31142.722167050004</v>
      </c>
      <c r="M41" s="1585" t="s">
        <v>298</v>
      </c>
      <c r="N41" s="1588">
        <v>101.95</v>
      </c>
      <c r="O41" s="1588">
        <v>102</v>
      </c>
      <c r="P41" s="1589" t="s">
        <v>573</v>
      </c>
    </row>
    <row r="42" spans="1:16" ht="9.75" customHeight="1">
      <c r="A42" s="1590" t="s">
        <v>582</v>
      </c>
      <c r="B42" s="1592">
        <v>9.24</v>
      </c>
      <c r="C42" s="1592" t="s">
        <v>298</v>
      </c>
      <c r="D42" s="1592">
        <v>8.64</v>
      </c>
      <c r="E42" s="1592" t="s">
        <v>298</v>
      </c>
      <c r="F42" s="1592">
        <v>195.32</v>
      </c>
      <c r="G42" s="1592">
        <v>101.12</v>
      </c>
      <c r="H42" s="1592">
        <v>192.47</v>
      </c>
      <c r="I42" s="1592">
        <v>192.68</v>
      </c>
      <c r="J42" s="1593">
        <v>3956</v>
      </c>
      <c r="K42" s="1593">
        <v>4706.8999999999996</v>
      </c>
      <c r="L42" s="1593">
        <v>30965.253730140001</v>
      </c>
      <c r="M42" s="1593" t="s">
        <v>298</v>
      </c>
      <c r="N42" s="1594">
        <v>102.88890000000001</v>
      </c>
      <c r="O42" s="1594">
        <v>103</v>
      </c>
      <c r="P42" s="1595" t="s">
        <v>582</v>
      </c>
    </row>
    <row r="43" spans="1:16" ht="9.75" customHeight="1">
      <c r="A43" s="1584" t="s">
        <v>583</v>
      </c>
      <c r="B43" s="1586">
        <v>9.94</v>
      </c>
      <c r="C43" s="1586" t="s">
        <v>298</v>
      </c>
      <c r="D43" s="1586">
        <v>8.84</v>
      </c>
      <c r="E43" s="1586" t="s">
        <v>298</v>
      </c>
      <c r="F43" s="1586">
        <v>195.17</v>
      </c>
      <c r="G43" s="1586">
        <v>79.02</v>
      </c>
      <c r="H43" s="1586">
        <v>193.65</v>
      </c>
      <c r="I43" s="1586">
        <v>191.99</v>
      </c>
      <c r="J43" s="1587">
        <v>4849.62</v>
      </c>
      <c r="K43" s="1587">
        <v>5631.8</v>
      </c>
      <c r="L43" s="1587">
        <v>29873.9</v>
      </c>
      <c r="M43" s="1587" t="s">
        <v>298</v>
      </c>
      <c r="N43" s="1588">
        <v>104.4286</v>
      </c>
      <c r="O43" s="1588">
        <v>104.5</v>
      </c>
      <c r="P43" s="1589" t="s">
        <v>583</v>
      </c>
    </row>
    <row r="44" spans="1:16" ht="9.75" customHeight="1">
      <c r="A44" s="1590" t="s">
        <v>574</v>
      </c>
      <c r="B44" s="1592">
        <v>9.74</v>
      </c>
      <c r="C44" s="1592" t="s">
        <v>298</v>
      </c>
      <c r="D44" s="1592">
        <v>9.02</v>
      </c>
      <c r="E44" s="1592" t="s">
        <v>298</v>
      </c>
      <c r="F44" s="1592">
        <v>217.57</v>
      </c>
      <c r="G44" s="1592">
        <v>81.96</v>
      </c>
      <c r="H44" s="1592">
        <v>140.91</v>
      </c>
      <c r="I44" s="1592">
        <v>210.84</v>
      </c>
      <c r="J44" s="1593">
        <v>5031.53</v>
      </c>
      <c r="K44" s="1593">
        <v>4505.9000000000005</v>
      </c>
      <c r="L44" s="1593">
        <v>31203</v>
      </c>
      <c r="M44" s="1593">
        <v>24753.9</v>
      </c>
      <c r="N44" s="1594">
        <v>105.91670000000001</v>
      </c>
      <c r="O44" s="1594">
        <v>106</v>
      </c>
      <c r="P44" s="1595" t="s">
        <v>574</v>
      </c>
    </row>
    <row r="45" spans="1:16" ht="12.75" customHeight="1">
      <c r="A45" s="1596" t="s">
        <v>2514</v>
      </c>
      <c r="B45" s="1586"/>
      <c r="C45" s="1586"/>
      <c r="D45" s="1586"/>
      <c r="E45" s="1586"/>
      <c r="F45" s="1586"/>
      <c r="G45" s="1586"/>
      <c r="H45" s="1586"/>
      <c r="I45" s="1586"/>
      <c r="J45" s="1587"/>
      <c r="K45" s="1587"/>
      <c r="L45" s="1587"/>
      <c r="M45" s="1587"/>
      <c r="N45" s="1588"/>
      <c r="O45" s="1588"/>
      <c r="P45" s="1601" t="s">
        <v>2514</v>
      </c>
    </row>
    <row r="46" spans="1:16" ht="9.75" customHeight="1">
      <c r="A46" s="1590" t="s">
        <v>576</v>
      </c>
      <c r="B46" s="1592">
        <v>9.69</v>
      </c>
      <c r="C46" s="1592" t="s">
        <v>298</v>
      </c>
      <c r="D46" s="1592">
        <v>9.1999999999999993</v>
      </c>
      <c r="E46" s="1592" t="s">
        <v>298</v>
      </c>
      <c r="F46" s="1592">
        <v>203.39</v>
      </c>
      <c r="G46" s="1592">
        <v>79.680000000000007</v>
      </c>
      <c r="H46" s="1592">
        <v>215.84</v>
      </c>
      <c r="I46" s="1592">
        <v>199.89</v>
      </c>
      <c r="J46" s="1593">
        <v>4592.92</v>
      </c>
      <c r="K46" s="1593">
        <v>5663.4</v>
      </c>
      <c r="L46" s="1593">
        <v>29732.070291950004</v>
      </c>
      <c r="M46" s="1593">
        <v>23374.252690129997</v>
      </c>
      <c r="N46" s="1594">
        <v>108.74</v>
      </c>
      <c r="O46" s="1594">
        <v>109</v>
      </c>
      <c r="P46" s="1595" t="s">
        <v>576</v>
      </c>
    </row>
    <row r="47" spans="1:16" ht="9.75" customHeight="1">
      <c r="A47" s="1584" t="s">
        <v>577</v>
      </c>
      <c r="B47" s="1586">
        <v>9.92</v>
      </c>
      <c r="C47" s="1586" t="s">
        <v>298</v>
      </c>
      <c r="D47" s="1586">
        <v>9.24</v>
      </c>
      <c r="E47" s="1586" t="s">
        <v>298</v>
      </c>
      <c r="F47" s="1586">
        <v>206.21</v>
      </c>
      <c r="G47" s="1586">
        <v>79.680000000000007</v>
      </c>
      <c r="H47" s="1586">
        <v>215.17</v>
      </c>
      <c r="I47" s="1586">
        <v>202.87</v>
      </c>
      <c r="J47" s="1587">
        <v>4782.1899999999996</v>
      </c>
      <c r="K47" s="1587">
        <v>5387.2</v>
      </c>
      <c r="L47" s="1587">
        <v>29260.653703449811</v>
      </c>
      <c r="M47" s="1587">
        <v>23255.073009029999</v>
      </c>
      <c r="N47" s="1588">
        <v>109.434</v>
      </c>
      <c r="O47" s="1588">
        <v>109.5</v>
      </c>
      <c r="P47" s="1589" t="s">
        <v>577</v>
      </c>
    </row>
    <row r="48" spans="1:16" ht="9.75" customHeight="1">
      <c r="A48" s="1590" t="s">
        <v>571</v>
      </c>
      <c r="B48" s="1592">
        <v>9.6300000000000008</v>
      </c>
      <c r="C48" s="1592" t="s">
        <v>298</v>
      </c>
      <c r="D48" s="1592">
        <v>9.2899999999999991</v>
      </c>
      <c r="E48" s="1592" t="s">
        <v>298</v>
      </c>
      <c r="F48" s="1592">
        <v>199.7</v>
      </c>
      <c r="G48" s="1592">
        <v>81.430000000000007</v>
      </c>
      <c r="H48" s="1592">
        <v>210.79</v>
      </c>
      <c r="I48" s="1592">
        <v>196.99</v>
      </c>
      <c r="J48" s="1593">
        <v>4310.33</v>
      </c>
      <c r="K48" s="1593">
        <v>4439.8999999999996</v>
      </c>
      <c r="L48" s="1593">
        <v>26911.02355403981</v>
      </c>
      <c r="M48" s="1593">
        <v>21059.777311500002</v>
      </c>
      <c r="N48" s="1594">
        <v>109.98139999999999</v>
      </c>
      <c r="O48" s="1594">
        <v>110.18089999999999</v>
      </c>
      <c r="P48" s="1595" t="s">
        <v>571</v>
      </c>
    </row>
    <row r="49" spans="1:16" ht="9.75" customHeight="1">
      <c r="A49" s="1584" t="s">
        <v>578</v>
      </c>
      <c r="B49" s="1586">
        <v>9.93</v>
      </c>
      <c r="C49" s="1586" t="s">
        <v>298</v>
      </c>
      <c r="D49" s="1586">
        <v>9.3699999999999992</v>
      </c>
      <c r="E49" s="1586" t="s">
        <v>298</v>
      </c>
      <c r="F49" s="1586">
        <v>191.02</v>
      </c>
      <c r="G49" s="1586">
        <v>75.16</v>
      </c>
      <c r="H49" s="1586">
        <v>197.07</v>
      </c>
      <c r="I49" s="1586">
        <v>188.16</v>
      </c>
      <c r="J49" s="1587">
        <v>3762.03</v>
      </c>
      <c r="K49" s="1587">
        <v>5344.66</v>
      </c>
      <c r="L49" s="1587">
        <v>26481.029370339998</v>
      </c>
      <c r="M49" s="1587">
        <v>20710.222864769999</v>
      </c>
      <c r="N49" s="1588">
        <v>110.4798</v>
      </c>
      <c r="O49" s="1588">
        <v>110.5</v>
      </c>
      <c r="P49" s="1589" t="s">
        <v>578</v>
      </c>
    </row>
    <row r="50" spans="1:16" ht="9.75" customHeight="1">
      <c r="A50" s="1590" t="s">
        <v>579</v>
      </c>
      <c r="B50" s="1592">
        <v>9.49</v>
      </c>
      <c r="C50" s="1592" t="s">
        <v>298</v>
      </c>
      <c r="D50" s="1592">
        <v>9.42</v>
      </c>
      <c r="E50" s="1592" t="s">
        <v>298</v>
      </c>
      <c r="F50" s="1592" t="s">
        <v>298</v>
      </c>
      <c r="G50" s="1592" t="s">
        <v>298</v>
      </c>
      <c r="H50" s="1592" t="s">
        <v>298</v>
      </c>
      <c r="I50" s="1592" t="s">
        <v>298</v>
      </c>
      <c r="J50" s="1593">
        <v>4784.8100000000004</v>
      </c>
      <c r="K50" s="1593">
        <v>5666.6</v>
      </c>
      <c r="L50" s="1593">
        <v>24894.58181</v>
      </c>
      <c r="M50" s="1593">
        <v>19300.61138178</v>
      </c>
      <c r="N50" s="1594">
        <v>110.8623</v>
      </c>
      <c r="O50" s="1594">
        <v>110.5</v>
      </c>
      <c r="P50" s="1595" t="s">
        <v>579</v>
      </c>
    </row>
    <row r="51" spans="1:16" ht="9.75" customHeight="1">
      <c r="A51" s="1584" t="s">
        <v>572</v>
      </c>
      <c r="B51" s="1586">
        <v>9.41</v>
      </c>
      <c r="C51" s="1586" t="s">
        <v>298</v>
      </c>
      <c r="D51" s="1586">
        <v>9.48</v>
      </c>
      <c r="E51" s="1586" t="s">
        <v>298</v>
      </c>
      <c r="F51" s="1586" t="s">
        <v>298</v>
      </c>
      <c r="G51" s="1586" t="s">
        <v>298</v>
      </c>
      <c r="H51" s="1586" t="s">
        <v>298</v>
      </c>
      <c r="I51" s="1586" t="s">
        <v>298</v>
      </c>
      <c r="J51" s="1587">
        <v>5308.09</v>
      </c>
      <c r="K51" s="1587">
        <v>4953.3999999999996</v>
      </c>
      <c r="L51" s="1587">
        <v>27130.037090907601</v>
      </c>
      <c r="M51" s="1587">
        <v>21867.560341549299</v>
      </c>
      <c r="N51" s="1588">
        <v>110.15</v>
      </c>
      <c r="O51" s="1588">
        <v>110</v>
      </c>
      <c r="P51" s="1589" t="s">
        <v>572</v>
      </c>
    </row>
    <row r="52" spans="1:16" s="1754" customFormat="1" ht="9.75" customHeight="1" thickBot="1">
      <c r="A52" s="1763" t="s">
        <v>580</v>
      </c>
      <c r="B52" s="1764">
        <v>9.86</v>
      </c>
      <c r="C52" s="1764" t="s">
        <v>298</v>
      </c>
      <c r="D52" s="1764">
        <v>9.59</v>
      </c>
      <c r="E52" s="1764" t="s">
        <v>298</v>
      </c>
      <c r="F52" s="1764" t="s">
        <v>298</v>
      </c>
      <c r="G52" s="1764" t="s">
        <v>298</v>
      </c>
      <c r="H52" s="1764" t="s">
        <v>298</v>
      </c>
      <c r="I52" s="1764" t="s">
        <v>298</v>
      </c>
      <c r="J52" s="1765">
        <v>5724.34</v>
      </c>
      <c r="K52" s="1765" t="s">
        <v>298</v>
      </c>
      <c r="L52" s="1765">
        <v>25111.91803434</v>
      </c>
      <c r="M52" s="1765">
        <v>19963.455985557106</v>
      </c>
      <c r="N52" s="1766">
        <v>110</v>
      </c>
      <c r="O52" s="1766">
        <v>110</v>
      </c>
      <c r="P52" s="1767" t="s">
        <v>580</v>
      </c>
    </row>
    <row r="53" spans="1:16" ht="8.25" customHeight="1">
      <c r="A53" s="1609" t="s">
        <v>1436</v>
      </c>
      <c r="B53" s="1965" t="s">
        <v>1371</v>
      </c>
      <c r="C53" s="1965"/>
      <c r="D53" s="1965"/>
      <c r="E53" s="1965"/>
      <c r="F53" s="1965"/>
      <c r="G53" s="1610"/>
      <c r="H53" s="1610"/>
      <c r="I53" s="1610"/>
      <c r="J53" s="1611" t="s">
        <v>1438</v>
      </c>
      <c r="K53" s="1965" t="s">
        <v>1608</v>
      </c>
      <c r="L53" s="1965"/>
      <c r="M53" s="1612"/>
      <c r="N53" s="1610"/>
      <c r="O53" s="1610"/>
      <c r="P53" s="1613"/>
    </row>
    <row r="54" spans="1:16" ht="9.9499999999999993" customHeight="1">
      <c r="A54" s="1614"/>
      <c r="B54" s="1974" t="s">
        <v>1370</v>
      </c>
      <c r="C54" s="1974"/>
      <c r="D54" s="1974"/>
      <c r="E54" s="1974"/>
      <c r="F54" s="1974"/>
      <c r="G54" s="1974"/>
      <c r="H54" s="1974"/>
      <c r="I54" s="1974"/>
      <c r="J54" s="1615"/>
      <c r="K54" s="1965" t="s">
        <v>1372</v>
      </c>
      <c r="L54" s="1965"/>
      <c r="M54" s="1965"/>
      <c r="N54" s="1965"/>
      <c r="O54" s="1965"/>
      <c r="P54" s="1616"/>
    </row>
    <row r="55" spans="1:16" ht="9.75" customHeight="1">
      <c r="A55" s="1614"/>
      <c r="B55" s="1617" t="s">
        <v>2459</v>
      </c>
      <c r="C55" s="1617"/>
      <c r="D55" s="1617"/>
      <c r="E55" s="1617"/>
      <c r="F55" s="1617"/>
      <c r="G55" s="1617"/>
      <c r="H55" s="1618"/>
      <c r="I55" s="1619"/>
      <c r="J55" s="1620"/>
      <c r="K55" s="1964" t="s">
        <v>1295</v>
      </c>
      <c r="L55" s="1964"/>
      <c r="M55" s="1964"/>
      <c r="N55" s="1964"/>
      <c r="O55" s="1964"/>
      <c r="P55" s="1964"/>
    </row>
    <row r="56" spans="1:16" ht="9.9499999999999993" customHeight="1">
      <c r="A56" s="1614" t="s">
        <v>647</v>
      </c>
      <c r="B56" s="1614"/>
      <c r="C56" s="1614"/>
      <c r="D56" s="1614"/>
      <c r="E56" s="1614"/>
      <c r="F56" s="1614"/>
      <c r="G56" s="1614"/>
      <c r="H56" s="1621"/>
      <c r="I56" s="1622"/>
      <c r="J56" s="1615"/>
      <c r="K56" s="1964" t="s">
        <v>1499</v>
      </c>
      <c r="L56" s="1964"/>
      <c r="M56" s="1964"/>
      <c r="N56" s="1964"/>
      <c r="O56" s="1964"/>
      <c r="P56" s="1623"/>
    </row>
    <row r="57" spans="1:16" ht="9.9499999999999993" customHeight="1">
      <c r="A57" s="1614"/>
      <c r="B57" s="1624" t="s">
        <v>1432</v>
      </c>
      <c r="C57" s="1617"/>
      <c r="D57" s="1617"/>
      <c r="E57" s="1617"/>
      <c r="F57" s="1617"/>
      <c r="G57" s="1617"/>
      <c r="H57" s="1617"/>
      <c r="I57" s="1625"/>
      <c r="J57" s="1615"/>
      <c r="K57" s="1965" t="s">
        <v>1988</v>
      </c>
      <c r="L57" s="1965"/>
      <c r="M57" s="1965"/>
      <c r="N57" s="1965"/>
      <c r="O57" s="1965"/>
      <c r="P57" s="1614"/>
    </row>
    <row r="58" spans="1:16" ht="9.9499999999999993" customHeight="1">
      <c r="A58" s="1626" t="s">
        <v>1437</v>
      </c>
      <c r="B58" s="1964" t="s">
        <v>193</v>
      </c>
      <c r="C58" s="1964"/>
      <c r="D58" s="1624"/>
      <c r="E58" s="1627" t="s">
        <v>1390</v>
      </c>
      <c r="F58" s="1624"/>
      <c r="G58" s="1614"/>
      <c r="H58" s="1628"/>
      <c r="I58" s="1622"/>
      <c r="J58" s="1629" t="s">
        <v>1439</v>
      </c>
      <c r="K58" s="1630" t="s">
        <v>1373</v>
      </c>
      <c r="L58" s="1630"/>
      <c r="M58" s="1630"/>
      <c r="N58" s="1630"/>
      <c r="O58" s="1614"/>
      <c r="P58" s="1610"/>
    </row>
    <row r="59" spans="1:16" ht="9.75" customHeight="1">
      <c r="A59" s="1614"/>
      <c r="B59" s="1614"/>
      <c r="C59" s="1614"/>
      <c r="D59" s="1624"/>
      <c r="E59" s="1614"/>
      <c r="F59" s="1624"/>
      <c r="G59" s="1614"/>
      <c r="H59" s="1614" t="s">
        <v>647</v>
      </c>
      <c r="I59" s="1622"/>
      <c r="J59" s="1618" t="s">
        <v>194</v>
      </c>
      <c r="K59" s="1937" t="s">
        <v>1647</v>
      </c>
      <c r="L59" s="1937"/>
      <c r="M59" s="1937"/>
      <c r="N59" s="1937"/>
      <c r="O59" s="1937"/>
      <c r="P59" s="1631"/>
    </row>
    <row r="60" spans="1:16" ht="13.5" customHeight="1">
      <c r="A60" s="1614"/>
      <c r="B60" s="1375"/>
      <c r="C60" s="1614"/>
      <c r="D60" s="1614"/>
      <c r="E60" s="1614"/>
      <c r="F60" s="1614"/>
      <c r="G60" s="1614"/>
      <c r="H60" s="1632"/>
      <c r="I60" s="1622"/>
      <c r="J60" s="1625"/>
      <c r="K60" s="1633"/>
      <c r="L60" s="1631"/>
      <c r="M60" s="1631"/>
      <c r="N60" s="1614"/>
      <c r="O60" s="1634"/>
      <c r="P60" s="1614"/>
    </row>
    <row r="61" spans="1:16">
      <c r="A61" s="1614"/>
      <c r="B61" s="1635"/>
      <c r="C61" s="1614"/>
      <c r="D61" s="1614"/>
      <c r="E61" s="1614"/>
      <c r="F61" s="1614"/>
      <c r="G61" s="1614"/>
      <c r="H61" s="1632"/>
      <c r="I61" s="1622"/>
      <c r="J61" s="1622"/>
      <c r="K61" s="1637"/>
      <c r="L61" s="1631"/>
      <c r="M61" s="1631"/>
      <c r="N61" s="1614"/>
      <c r="O61" s="1614"/>
      <c r="P61" s="1614"/>
    </row>
    <row r="62" spans="1:16">
      <c r="C62" s="1638"/>
      <c r="D62" s="1639"/>
      <c r="E62" s="1638"/>
      <c r="F62" s="1639"/>
      <c r="G62" s="1639"/>
      <c r="H62" s="1632"/>
      <c r="I62" s="1622"/>
      <c r="J62" s="1636"/>
      <c r="K62" s="1637"/>
      <c r="L62" s="1631"/>
      <c r="M62" s="1631"/>
      <c r="N62" s="1640"/>
      <c r="O62" s="1640"/>
      <c r="P62" s="1639"/>
    </row>
    <row r="63" spans="1:16">
      <c r="C63" s="1638"/>
      <c r="D63" s="1639"/>
      <c r="E63" s="1638"/>
      <c r="F63" s="1639"/>
      <c r="G63" s="1639"/>
      <c r="H63" s="1632"/>
      <c r="I63" s="1622"/>
      <c r="J63" s="1636"/>
      <c r="K63" s="1637"/>
      <c r="L63" s="1631"/>
      <c r="M63" s="1631"/>
      <c r="N63" s="1640"/>
      <c r="O63" s="1640"/>
      <c r="P63" s="1639"/>
    </row>
    <row r="64" spans="1:16">
      <c r="C64" s="1638"/>
      <c r="D64" s="1639"/>
      <c r="E64" s="1638"/>
      <c r="F64" s="1639"/>
      <c r="G64" s="1639"/>
      <c r="H64" s="1632"/>
      <c r="I64" s="1639"/>
      <c r="J64" s="1636"/>
      <c r="K64" s="1637"/>
      <c r="L64" s="1631"/>
      <c r="M64" s="1631"/>
      <c r="N64" s="1640"/>
      <c r="O64" s="1640"/>
      <c r="P64" s="1639"/>
    </row>
    <row r="65" spans="3:16">
      <c r="C65" s="1638"/>
      <c r="D65" s="1639"/>
      <c r="E65" s="1638"/>
      <c r="F65" s="1639"/>
      <c r="G65" s="1640"/>
      <c r="H65" s="1632"/>
      <c r="I65" s="1640"/>
      <c r="J65" s="1636"/>
      <c r="K65" s="1637"/>
      <c r="L65" s="1640"/>
      <c r="M65" s="1640"/>
      <c r="N65" s="1640"/>
      <c r="O65" s="1640"/>
      <c r="P65" s="1639"/>
    </row>
    <row r="66" spans="3:16">
      <c r="C66" s="1638"/>
      <c r="D66" s="1639"/>
      <c r="E66" s="1638"/>
      <c r="F66" s="1639"/>
      <c r="G66" s="1639"/>
      <c r="H66" s="1632"/>
      <c r="I66" s="1639"/>
      <c r="J66" s="1636"/>
      <c r="K66" s="1637"/>
      <c r="L66" s="1640"/>
      <c r="M66" s="1640"/>
      <c r="N66" s="1640"/>
      <c r="O66" s="1640"/>
      <c r="P66" s="1639"/>
    </row>
    <row r="67" spans="3:16">
      <c r="C67" s="1638"/>
      <c r="D67" s="1639"/>
      <c r="E67" s="1638"/>
      <c r="F67" s="1639"/>
      <c r="G67" s="1639"/>
      <c r="H67" s="1632"/>
      <c r="I67" s="1639"/>
      <c r="J67" s="1636"/>
      <c r="K67" s="1637"/>
      <c r="L67" s="1640"/>
      <c r="M67" s="1640"/>
      <c r="N67" s="1640"/>
      <c r="O67" s="1640"/>
      <c r="P67" s="1639"/>
    </row>
    <row r="68" spans="3:16">
      <c r="C68" s="1638"/>
      <c r="D68" s="1639"/>
      <c r="E68" s="1638"/>
      <c r="F68" s="1639"/>
      <c r="G68" s="1639"/>
      <c r="H68" s="1639"/>
      <c r="I68" s="1639"/>
      <c r="J68" s="1636"/>
      <c r="K68" s="1637"/>
      <c r="L68" s="1640"/>
      <c r="M68" s="1640"/>
      <c r="N68" s="1640"/>
      <c r="O68" s="1640"/>
      <c r="P68" s="1639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1:P1"/>
    <mergeCell ref="B58:C58"/>
    <mergeCell ref="K53:L53"/>
    <mergeCell ref="K54:O54"/>
    <mergeCell ref="K55:P55"/>
    <mergeCell ref="K56:O56"/>
    <mergeCell ref="K57:O57"/>
    <mergeCell ref="E5:E6"/>
    <mergeCell ref="B3:E4"/>
    <mergeCell ref="C5:C6"/>
    <mergeCell ref="B5:B6"/>
    <mergeCell ref="D5:D6"/>
    <mergeCell ref="B53:F53"/>
    <mergeCell ref="B54:I54"/>
    <mergeCell ref="J5:J6"/>
    <mergeCell ref="G5:G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K59:O59"/>
    <mergeCell ref="O2:P2"/>
    <mergeCell ref="J3:K3"/>
    <mergeCell ref="L3:M3"/>
    <mergeCell ref="N3:O3"/>
    <mergeCell ref="P3:P7"/>
    <mergeCell ref="L4:M4"/>
    <mergeCell ref="N4:O4"/>
    <mergeCell ref="L5:L6"/>
    <mergeCell ref="O5:O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L80"/>
  <sheetViews>
    <sheetView topLeftCell="A7" zoomScale="120" zoomScaleNormal="120" workbookViewId="0">
      <selection activeCell="A11" sqref="A11:XFD11"/>
    </sheetView>
  </sheetViews>
  <sheetFormatPr defaultRowHeight="15"/>
  <cols>
    <col min="1" max="1" width="8.5703125" style="732" customWidth="1"/>
    <col min="2" max="2" width="7.7109375" style="732" customWidth="1"/>
    <col min="3" max="3" width="8.7109375" style="732" customWidth="1"/>
    <col min="4" max="4" width="10.28515625" style="732" customWidth="1"/>
    <col min="5" max="5" width="7.85546875" style="732" customWidth="1"/>
    <col min="6" max="6" width="8.85546875" style="732" customWidth="1"/>
    <col min="7" max="7" width="7.7109375" style="732" customWidth="1"/>
    <col min="8" max="8" width="8.42578125" style="732" customWidth="1"/>
    <col min="9" max="9" width="10.28515625" style="732" customWidth="1"/>
    <col min="10" max="10" width="9.7109375" style="732" customWidth="1"/>
    <col min="11" max="11" width="9.85546875" style="732" customWidth="1"/>
    <col min="12" max="12" width="10.5703125" style="732" customWidth="1"/>
    <col min="13" max="13" width="9.140625" style="732" customWidth="1"/>
    <col min="14" max="14" width="9.42578125" style="732" customWidth="1"/>
    <col min="15" max="15" width="8.85546875" style="732" customWidth="1"/>
    <col min="16" max="16" width="9.7109375" style="732" customWidth="1"/>
    <col min="17" max="17" width="7.5703125" style="732" customWidth="1"/>
    <col min="18" max="16384" width="9.140625" style="732"/>
  </cols>
  <sheetData>
    <row r="1" spans="1:17" ht="11.25" customHeight="1"/>
    <row r="2" spans="1:17" ht="21.75" customHeight="1">
      <c r="A2" s="729"/>
      <c r="B2" s="730"/>
      <c r="C2" s="730"/>
      <c r="D2" s="737"/>
      <c r="E2" s="737"/>
      <c r="F2" s="737"/>
      <c r="G2" s="2494" t="s">
        <v>2224</v>
      </c>
      <c r="H2" s="2494"/>
      <c r="I2" s="2494"/>
      <c r="J2" s="1238" t="s">
        <v>2223</v>
      </c>
      <c r="K2" s="1238"/>
      <c r="L2" s="1238"/>
      <c r="M2" s="1233"/>
      <c r="N2" s="730"/>
      <c r="O2" s="730"/>
      <c r="P2" s="2482" t="s">
        <v>2061</v>
      </c>
      <c r="Q2" s="2482"/>
    </row>
    <row r="3" spans="1:17">
      <c r="P3" s="2495" t="s">
        <v>24</v>
      </c>
      <c r="Q3" s="2495"/>
    </row>
    <row r="4" spans="1:17" s="1085" customFormat="1">
      <c r="A4" s="2496" t="s">
        <v>492</v>
      </c>
      <c r="B4" s="2484" t="s">
        <v>499</v>
      </c>
      <c r="C4" s="2499" t="s">
        <v>1477</v>
      </c>
      <c r="D4" s="2499"/>
      <c r="E4" s="2499"/>
      <c r="F4" s="2499" t="s">
        <v>2222</v>
      </c>
      <c r="G4" s="2499"/>
      <c r="H4" s="2499"/>
      <c r="I4" s="2499"/>
      <c r="J4" s="2499"/>
      <c r="K4" s="2484" t="s">
        <v>1506</v>
      </c>
      <c r="L4" s="2488" t="s">
        <v>1507</v>
      </c>
      <c r="M4" s="2488" t="s">
        <v>1472</v>
      </c>
      <c r="N4" s="2487" t="s">
        <v>1473</v>
      </c>
      <c r="O4" s="2488" t="s">
        <v>1493</v>
      </c>
      <c r="P4" s="2488" t="s">
        <v>1475</v>
      </c>
      <c r="Q4" s="2488" t="s">
        <v>1482</v>
      </c>
    </row>
    <row r="5" spans="1:17" s="1085" customFormat="1" ht="72">
      <c r="A5" s="2497"/>
      <c r="B5" s="2485"/>
      <c r="C5" s="1163" t="s">
        <v>1478</v>
      </c>
      <c r="D5" s="1158" t="s">
        <v>1479</v>
      </c>
      <c r="E5" s="1158" t="s">
        <v>1487</v>
      </c>
      <c r="F5" s="1158" t="s">
        <v>1480</v>
      </c>
      <c r="G5" s="1158" t="s">
        <v>1504</v>
      </c>
      <c r="H5" s="1158" t="s">
        <v>1481</v>
      </c>
      <c r="I5" s="1158" t="s">
        <v>1505</v>
      </c>
      <c r="J5" s="1158" t="s">
        <v>1486</v>
      </c>
      <c r="K5" s="2485"/>
      <c r="L5" s="2488"/>
      <c r="M5" s="2488"/>
      <c r="N5" s="2487"/>
      <c r="O5" s="2488"/>
      <c r="P5" s="2488"/>
      <c r="Q5" s="2488"/>
    </row>
    <row r="6" spans="1:17" s="1085" customFormat="1">
      <c r="A6" s="2498"/>
      <c r="B6" s="1163">
        <v>1</v>
      </c>
      <c r="C6" s="1158">
        <v>2</v>
      </c>
      <c r="D6" s="1158">
        <v>3</v>
      </c>
      <c r="E6" s="1158">
        <v>4</v>
      </c>
      <c r="F6" s="1158">
        <v>5</v>
      </c>
      <c r="G6" s="1158">
        <v>6</v>
      </c>
      <c r="H6" s="1158">
        <v>7</v>
      </c>
      <c r="I6" s="1158">
        <v>8</v>
      </c>
      <c r="J6" s="1158">
        <v>9</v>
      </c>
      <c r="K6" s="1158">
        <v>10</v>
      </c>
      <c r="L6" s="1158">
        <v>11</v>
      </c>
      <c r="M6" s="1158">
        <v>12</v>
      </c>
      <c r="N6" s="1158">
        <v>13</v>
      </c>
      <c r="O6" s="1158">
        <v>14</v>
      </c>
      <c r="P6" s="1158">
        <v>15</v>
      </c>
      <c r="Q6" s="1158">
        <v>16</v>
      </c>
    </row>
    <row r="7" spans="1:17" s="1085" customFormat="1" ht="11.25" customHeight="1">
      <c r="A7" s="1344" t="s">
        <v>1392</v>
      </c>
      <c r="B7" s="1354">
        <v>219839.3</v>
      </c>
      <c r="C7" s="1354">
        <v>317375.09999999998</v>
      </c>
      <c r="D7" s="1354">
        <v>1038405.3</v>
      </c>
      <c r="E7" s="1354">
        <v>1355780.4</v>
      </c>
      <c r="F7" s="1354">
        <v>139383</v>
      </c>
      <c r="G7" s="1354">
        <v>113589.4</v>
      </c>
      <c r="H7" s="1354">
        <v>894292.2</v>
      </c>
      <c r="I7" s="1354">
        <v>226328.5</v>
      </c>
      <c r="J7" s="1354">
        <v>1373593.1</v>
      </c>
      <c r="K7" s="1354">
        <v>466.8</v>
      </c>
      <c r="L7" s="1354">
        <v>1708</v>
      </c>
      <c r="M7" s="1354">
        <v>162.19999999999999</v>
      </c>
      <c r="N7" s="1354">
        <v>0</v>
      </c>
      <c r="O7" s="1354">
        <v>0</v>
      </c>
      <c r="P7" s="1354">
        <v>149063.6</v>
      </c>
      <c r="Q7" s="1354">
        <v>50626</v>
      </c>
    </row>
    <row r="8" spans="1:17" s="1085" customFormat="1" ht="11.25" customHeight="1">
      <c r="A8" s="1396" t="s">
        <v>1511</v>
      </c>
      <c r="B8" s="481">
        <v>220491</v>
      </c>
      <c r="C8" s="481">
        <v>386582.8</v>
      </c>
      <c r="D8" s="481">
        <v>1153197</v>
      </c>
      <c r="E8" s="481">
        <v>1539779.8</v>
      </c>
      <c r="F8" s="481">
        <v>152754.4</v>
      </c>
      <c r="G8" s="481">
        <v>118282.1</v>
      </c>
      <c r="H8" s="481">
        <v>988445.9</v>
      </c>
      <c r="I8" s="481">
        <v>275041.7</v>
      </c>
      <c r="J8" s="481">
        <v>1534524.1</v>
      </c>
      <c r="K8" s="481">
        <v>559.29999999999995</v>
      </c>
      <c r="L8" s="481">
        <v>2074.1999999999998</v>
      </c>
      <c r="M8" s="481">
        <v>215.9</v>
      </c>
      <c r="N8" s="481">
        <v>0</v>
      </c>
      <c r="O8" s="481">
        <v>0</v>
      </c>
      <c r="P8" s="481">
        <v>153559.5</v>
      </c>
      <c r="Q8" s="481">
        <v>69337.8</v>
      </c>
    </row>
    <row r="9" spans="1:17" s="741" customFormat="1" ht="11.25" customHeight="1">
      <c r="A9" s="1344" t="s">
        <v>1602</v>
      </c>
      <c r="B9" s="463">
        <v>250287.4</v>
      </c>
      <c r="C9" s="463">
        <v>465640.7</v>
      </c>
      <c r="D9" s="463">
        <v>1247986.8999999999</v>
      </c>
      <c r="E9" s="463">
        <v>1713627.5999999999</v>
      </c>
      <c r="F9" s="463">
        <v>190570.5</v>
      </c>
      <c r="G9" s="463">
        <v>135586.20000000001</v>
      </c>
      <c r="H9" s="463">
        <v>1090287</v>
      </c>
      <c r="I9" s="463">
        <v>288223.59999999998</v>
      </c>
      <c r="J9" s="463">
        <v>1704667.2999999998</v>
      </c>
      <c r="K9" s="463">
        <v>1431.1</v>
      </c>
      <c r="L9" s="463">
        <v>2131</v>
      </c>
      <c r="M9" s="463">
        <v>127.3</v>
      </c>
      <c r="N9" s="463">
        <v>0</v>
      </c>
      <c r="O9" s="463">
        <v>0</v>
      </c>
      <c r="P9" s="463">
        <v>162648.1</v>
      </c>
      <c r="Q9" s="463">
        <v>92910.2</v>
      </c>
    </row>
    <row r="10" spans="1:17" s="741" customFormat="1" ht="11.25" customHeight="1">
      <c r="A10" s="1009" t="s">
        <v>1668</v>
      </c>
      <c r="B10" s="1346">
        <v>334673.7</v>
      </c>
      <c r="C10" s="1346">
        <v>548617.69999999995</v>
      </c>
      <c r="D10" s="1346">
        <v>1349330.6</v>
      </c>
      <c r="E10" s="1346">
        <v>1897948.3</v>
      </c>
      <c r="F10" s="1346">
        <v>207949.2</v>
      </c>
      <c r="G10" s="1346">
        <v>165171.20000000001</v>
      </c>
      <c r="H10" s="1346">
        <v>1226821.1000000001</v>
      </c>
      <c r="I10" s="1346">
        <v>329302.40000000002</v>
      </c>
      <c r="J10" s="1346">
        <v>1929243.9</v>
      </c>
      <c r="K10" s="1346">
        <v>1821.9</v>
      </c>
      <c r="L10" s="1346">
        <v>2833.2</v>
      </c>
      <c r="M10" s="1346">
        <v>147.80000000000001</v>
      </c>
      <c r="N10" s="1346">
        <v>0</v>
      </c>
      <c r="O10" s="1346">
        <v>0</v>
      </c>
      <c r="P10" s="1346">
        <v>186910.6</v>
      </c>
      <c r="Q10" s="1346">
        <v>111664.6</v>
      </c>
    </row>
    <row r="11" spans="1:17" s="741" customFormat="1" ht="11.25" customHeight="1">
      <c r="A11" s="1084" t="s">
        <v>2018</v>
      </c>
      <c r="B11" s="1345">
        <f>B23</f>
        <v>304447.5</v>
      </c>
      <c r="C11" s="1345">
        <f t="shared" ref="C11:Q11" si="0">C23</f>
        <v>631729.80000000005</v>
      </c>
      <c r="D11" s="1345">
        <f t="shared" si="0"/>
        <v>1539232.5</v>
      </c>
      <c r="E11" s="1345">
        <f t="shared" si="0"/>
        <v>2170962.2999999998</v>
      </c>
      <c r="F11" s="1345">
        <f t="shared" si="0"/>
        <v>234783</v>
      </c>
      <c r="G11" s="1345">
        <f t="shared" si="0"/>
        <v>189735</v>
      </c>
      <c r="H11" s="1345">
        <f t="shared" si="0"/>
        <v>1324229.7</v>
      </c>
      <c r="I11" s="1345">
        <f t="shared" si="0"/>
        <v>350604.9</v>
      </c>
      <c r="J11" s="1345">
        <f t="shared" si="0"/>
        <v>2099352.6</v>
      </c>
      <c r="K11" s="1345">
        <f t="shared" si="0"/>
        <v>1590.4</v>
      </c>
      <c r="L11" s="1345">
        <f t="shared" si="0"/>
        <v>3021</v>
      </c>
      <c r="M11" s="1345">
        <f t="shared" si="0"/>
        <v>350.8</v>
      </c>
      <c r="N11" s="1345">
        <f t="shared" si="0"/>
        <v>0</v>
      </c>
      <c r="O11" s="1345">
        <f t="shared" si="0"/>
        <v>0</v>
      </c>
      <c r="P11" s="1345">
        <f t="shared" si="0"/>
        <v>206528.8</v>
      </c>
      <c r="Q11" s="1345">
        <f t="shared" si="0"/>
        <v>164566.1</v>
      </c>
    </row>
    <row r="12" spans="1:17" s="741" customFormat="1" ht="11.25" customHeight="1">
      <c r="A12" s="1011" t="s">
        <v>576</v>
      </c>
      <c r="B12" s="482">
        <v>335464.59999999998</v>
      </c>
      <c r="C12" s="482">
        <v>558745.59999999998</v>
      </c>
      <c r="D12" s="482">
        <v>1351563.4</v>
      </c>
      <c r="E12" s="482">
        <f t="shared" ref="E12:E15" si="1">C12+D12</f>
        <v>1910309</v>
      </c>
      <c r="F12" s="482">
        <v>225471.3</v>
      </c>
      <c r="G12" s="482">
        <v>157202.20000000001</v>
      </c>
      <c r="H12" s="482">
        <v>1235403.3999999999</v>
      </c>
      <c r="I12" s="482">
        <v>331443.09999999998</v>
      </c>
      <c r="J12" s="482">
        <f t="shared" ref="J12:J43" si="2">F12+G12+H12+I12</f>
        <v>1949520</v>
      </c>
      <c r="K12" s="482">
        <v>1157.5999999999999</v>
      </c>
      <c r="L12" s="482">
        <v>2799</v>
      </c>
      <c r="M12" s="482">
        <v>158.1</v>
      </c>
      <c r="N12" s="482">
        <v>0</v>
      </c>
      <c r="O12" s="482">
        <v>0</v>
      </c>
      <c r="P12" s="482">
        <v>184277</v>
      </c>
      <c r="Q12" s="482">
        <v>107861.9</v>
      </c>
    </row>
    <row r="13" spans="1:17" s="741" customFormat="1" ht="11.25" customHeight="1">
      <c r="A13" s="1010" t="s">
        <v>577</v>
      </c>
      <c r="B13" s="463">
        <v>337094</v>
      </c>
      <c r="C13" s="463">
        <v>553983.5</v>
      </c>
      <c r="D13" s="463">
        <v>1361418.6</v>
      </c>
      <c r="E13" s="463">
        <f t="shared" si="1"/>
        <v>1915402.1</v>
      </c>
      <c r="F13" s="463">
        <v>211940.1</v>
      </c>
      <c r="G13" s="463">
        <v>159936.1</v>
      </c>
      <c r="H13" s="463">
        <v>1244737.8</v>
      </c>
      <c r="I13" s="463">
        <v>335103.59999999998</v>
      </c>
      <c r="J13" s="463">
        <f t="shared" si="2"/>
        <v>1951717.6</v>
      </c>
      <c r="K13" s="463">
        <v>1585.4</v>
      </c>
      <c r="L13" s="463">
        <v>2741.2</v>
      </c>
      <c r="M13" s="463">
        <v>180.6</v>
      </c>
      <c r="N13" s="463">
        <v>0</v>
      </c>
      <c r="O13" s="463">
        <v>0</v>
      </c>
      <c r="P13" s="463">
        <v>186434.2</v>
      </c>
      <c r="Q13" s="463">
        <v>109837.1</v>
      </c>
    </row>
    <row r="14" spans="1:17" s="741" customFormat="1" ht="11.25" customHeight="1">
      <c r="A14" s="1011" t="s">
        <v>571</v>
      </c>
      <c r="B14" s="482">
        <v>327692.7</v>
      </c>
      <c r="C14" s="482">
        <v>562775.19999999995</v>
      </c>
      <c r="D14" s="482">
        <v>1378515.3</v>
      </c>
      <c r="E14" s="482">
        <f t="shared" si="1"/>
        <v>1941290.5</v>
      </c>
      <c r="F14" s="482">
        <v>208030.8</v>
      </c>
      <c r="G14" s="482">
        <v>156374.29999999999</v>
      </c>
      <c r="H14" s="482">
        <v>1258399</v>
      </c>
      <c r="I14" s="482">
        <v>338034.5</v>
      </c>
      <c r="J14" s="482">
        <f t="shared" si="2"/>
        <v>1960838.6</v>
      </c>
      <c r="K14" s="482">
        <v>1664.1</v>
      </c>
      <c r="L14" s="482">
        <v>2716.1</v>
      </c>
      <c r="M14" s="482">
        <v>152.30000000000001</v>
      </c>
      <c r="N14" s="482">
        <v>0</v>
      </c>
      <c r="O14" s="482">
        <v>0</v>
      </c>
      <c r="P14" s="482">
        <v>187607.8</v>
      </c>
      <c r="Q14" s="482">
        <v>116004.3</v>
      </c>
    </row>
    <row r="15" spans="1:17" s="741" customFormat="1" ht="11.25" customHeight="1">
      <c r="A15" s="1010" t="s">
        <v>578</v>
      </c>
      <c r="B15" s="463">
        <v>326538.5</v>
      </c>
      <c r="C15" s="463">
        <v>567473</v>
      </c>
      <c r="D15" s="463">
        <v>1387958.1</v>
      </c>
      <c r="E15" s="463">
        <f t="shared" si="1"/>
        <v>1955431.1</v>
      </c>
      <c r="F15" s="463">
        <v>204300.9</v>
      </c>
      <c r="G15" s="463">
        <v>158697.70000000001</v>
      </c>
      <c r="H15" s="463">
        <v>1267941.7</v>
      </c>
      <c r="I15" s="463">
        <v>338909.1</v>
      </c>
      <c r="J15" s="463">
        <f t="shared" si="2"/>
        <v>1969849.4</v>
      </c>
      <c r="K15" s="463">
        <v>1534.5</v>
      </c>
      <c r="L15" s="463">
        <v>3118.6</v>
      </c>
      <c r="M15" s="463">
        <v>219.5</v>
      </c>
      <c r="N15" s="463">
        <v>0</v>
      </c>
      <c r="O15" s="463">
        <v>0</v>
      </c>
      <c r="P15" s="463">
        <v>189341.3</v>
      </c>
      <c r="Q15" s="463">
        <v>117905.8</v>
      </c>
    </row>
    <row r="16" spans="1:17" s="741" customFormat="1" ht="11.25" customHeight="1">
      <c r="A16" s="1011" t="s">
        <v>579</v>
      </c>
      <c r="B16" s="482">
        <v>314277.90000000002</v>
      </c>
      <c r="C16" s="482">
        <v>577140</v>
      </c>
      <c r="D16" s="482">
        <v>1405314</v>
      </c>
      <c r="E16" s="482">
        <f t="shared" ref="E16:E35" si="3">C16+D16</f>
        <v>1982454</v>
      </c>
      <c r="F16" s="482">
        <v>206695.7</v>
      </c>
      <c r="G16" s="482">
        <v>159863.29999999999</v>
      </c>
      <c r="H16" s="482">
        <v>1273348.3999999999</v>
      </c>
      <c r="I16" s="482">
        <v>339683.3</v>
      </c>
      <c r="J16" s="482">
        <f t="shared" si="2"/>
        <v>1979590.7</v>
      </c>
      <c r="K16" s="482">
        <v>1667.8</v>
      </c>
      <c r="L16" s="482">
        <v>2817.6</v>
      </c>
      <c r="M16" s="482">
        <v>217.7</v>
      </c>
      <c r="N16" s="482">
        <v>0</v>
      </c>
      <c r="O16" s="482">
        <v>0</v>
      </c>
      <c r="P16" s="482">
        <v>189875.1</v>
      </c>
      <c r="Q16" s="482">
        <v>122563</v>
      </c>
    </row>
    <row r="17" spans="1:17" s="741" customFormat="1" ht="11.25" customHeight="1">
      <c r="A17" s="1010" t="s">
        <v>572</v>
      </c>
      <c r="B17" s="463">
        <v>316672.7</v>
      </c>
      <c r="C17" s="463">
        <v>570699.69999999995</v>
      </c>
      <c r="D17" s="463">
        <v>1434086.7</v>
      </c>
      <c r="E17" s="463">
        <f t="shared" si="3"/>
        <v>2004786.4</v>
      </c>
      <c r="F17" s="463">
        <v>209115.4</v>
      </c>
      <c r="G17" s="463">
        <v>168738.7</v>
      </c>
      <c r="H17" s="463">
        <v>1280582.3</v>
      </c>
      <c r="I17" s="463">
        <v>339359.1</v>
      </c>
      <c r="J17" s="463">
        <f t="shared" si="2"/>
        <v>1997795.5</v>
      </c>
      <c r="K17" s="463">
        <v>1472</v>
      </c>
      <c r="L17" s="463">
        <v>3034.2</v>
      </c>
      <c r="M17" s="463">
        <v>281.5</v>
      </c>
      <c r="N17" s="463">
        <v>0</v>
      </c>
      <c r="O17" s="463">
        <v>0</v>
      </c>
      <c r="P17" s="463">
        <v>198589.2</v>
      </c>
      <c r="Q17" s="463">
        <v>120286.7</v>
      </c>
    </row>
    <row r="18" spans="1:17" s="741" customFormat="1" ht="11.25" customHeight="1">
      <c r="A18" s="1011" t="s">
        <v>580</v>
      </c>
      <c r="B18" s="482">
        <v>311412</v>
      </c>
      <c r="C18" s="482">
        <v>571027.30000000005</v>
      </c>
      <c r="D18" s="482">
        <v>1440436.2</v>
      </c>
      <c r="E18" s="482">
        <f t="shared" si="3"/>
        <v>2011463.5</v>
      </c>
      <c r="F18" s="482">
        <v>210156.79999999999</v>
      </c>
      <c r="G18" s="482">
        <v>161356.5</v>
      </c>
      <c r="H18" s="482">
        <v>1280546.3999999999</v>
      </c>
      <c r="I18" s="482">
        <v>342059.7</v>
      </c>
      <c r="J18" s="482">
        <f t="shared" si="2"/>
        <v>1994119.4</v>
      </c>
      <c r="K18" s="482">
        <v>1887.4</v>
      </c>
      <c r="L18" s="482">
        <v>2995.9</v>
      </c>
      <c r="M18" s="482">
        <v>290.60000000000002</v>
      </c>
      <c r="N18" s="482">
        <v>0</v>
      </c>
      <c r="O18" s="482">
        <v>0</v>
      </c>
      <c r="P18" s="482">
        <v>184327.5</v>
      </c>
      <c r="Q18" s="482">
        <v>139254.39999999999</v>
      </c>
    </row>
    <row r="19" spans="1:17" s="741" customFormat="1" ht="11.25" customHeight="1">
      <c r="A19" s="1010" t="s">
        <v>581</v>
      </c>
      <c r="B19" s="463">
        <v>307536.7</v>
      </c>
      <c r="C19" s="463">
        <v>573512.30000000005</v>
      </c>
      <c r="D19" s="463">
        <v>1455201.2</v>
      </c>
      <c r="E19" s="463">
        <f t="shared" si="3"/>
        <v>2028713.5</v>
      </c>
      <c r="F19" s="463">
        <v>210642.7</v>
      </c>
      <c r="G19" s="463">
        <v>159360.79999999999</v>
      </c>
      <c r="H19" s="463">
        <v>1289952.3999999999</v>
      </c>
      <c r="I19" s="463">
        <v>344654.6</v>
      </c>
      <c r="J19" s="463">
        <f t="shared" si="2"/>
        <v>2004610.5</v>
      </c>
      <c r="K19" s="463">
        <v>1766.1</v>
      </c>
      <c r="L19" s="463">
        <v>2990.7</v>
      </c>
      <c r="M19" s="463">
        <v>312.60000000000002</v>
      </c>
      <c r="N19" s="463">
        <v>0</v>
      </c>
      <c r="O19" s="463">
        <v>0</v>
      </c>
      <c r="P19" s="463">
        <v>187083.4</v>
      </c>
      <c r="Q19" s="463">
        <v>139486.6</v>
      </c>
    </row>
    <row r="20" spans="1:17" s="741" customFormat="1" ht="11.25" customHeight="1">
      <c r="A20" s="1011" t="s">
        <v>573</v>
      </c>
      <c r="B20" s="482">
        <v>301040</v>
      </c>
      <c r="C20" s="482">
        <v>579903.80000000005</v>
      </c>
      <c r="D20" s="482">
        <v>1468552.2</v>
      </c>
      <c r="E20" s="482">
        <f t="shared" si="3"/>
        <v>2048456</v>
      </c>
      <c r="F20" s="482">
        <v>211049.2</v>
      </c>
      <c r="G20" s="482">
        <v>162818.29999999999</v>
      </c>
      <c r="H20" s="482">
        <v>1295252.3</v>
      </c>
      <c r="I20" s="482">
        <v>346631.2</v>
      </c>
      <c r="J20" s="482">
        <f t="shared" si="2"/>
        <v>2015751</v>
      </c>
      <c r="K20" s="482">
        <v>1371.4</v>
      </c>
      <c r="L20" s="482">
        <v>3027.6</v>
      </c>
      <c r="M20" s="482">
        <v>286.10000000000002</v>
      </c>
      <c r="N20" s="482">
        <v>0</v>
      </c>
      <c r="O20" s="482">
        <v>0</v>
      </c>
      <c r="P20" s="482">
        <v>187317.4</v>
      </c>
      <c r="Q20" s="482">
        <v>141742</v>
      </c>
    </row>
    <row r="21" spans="1:17" s="741" customFormat="1" ht="11.25" customHeight="1">
      <c r="A21" s="1010" t="s">
        <v>582</v>
      </c>
      <c r="B21" s="463">
        <v>295179.59999999998</v>
      </c>
      <c r="C21" s="463">
        <v>599673.69999999995</v>
      </c>
      <c r="D21" s="463">
        <v>1490545.6</v>
      </c>
      <c r="E21" s="463">
        <f t="shared" si="3"/>
        <v>2090219.3</v>
      </c>
      <c r="F21" s="463">
        <v>235145.5</v>
      </c>
      <c r="G21" s="463">
        <v>166555.20000000001</v>
      </c>
      <c r="H21" s="463">
        <v>1302391.3999999999</v>
      </c>
      <c r="I21" s="463">
        <v>347784.8</v>
      </c>
      <c r="J21" s="463">
        <f t="shared" si="2"/>
        <v>2051876.9</v>
      </c>
      <c r="K21" s="463">
        <v>1400.7</v>
      </c>
      <c r="L21" s="463">
        <v>3015.1</v>
      </c>
      <c r="M21" s="463">
        <v>360.1</v>
      </c>
      <c r="N21" s="463">
        <v>0</v>
      </c>
      <c r="O21" s="463">
        <v>0</v>
      </c>
      <c r="P21" s="463">
        <v>184524.4</v>
      </c>
      <c r="Q21" s="463">
        <v>144221.20000000001</v>
      </c>
    </row>
    <row r="22" spans="1:17" s="741" customFormat="1" ht="11.25" customHeight="1">
      <c r="A22" s="1011" t="s">
        <v>583</v>
      </c>
      <c r="B22" s="482">
        <v>297616</v>
      </c>
      <c r="C22" s="482">
        <v>596675.5</v>
      </c>
      <c r="D22" s="482">
        <v>1508722.2</v>
      </c>
      <c r="E22" s="482">
        <f t="shared" si="3"/>
        <v>2105397.7000000002</v>
      </c>
      <c r="F22" s="482">
        <v>223490.8</v>
      </c>
      <c r="G22" s="482">
        <v>169461.8</v>
      </c>
      <c r="H22" s="482">
        <v>1311306.6000000001</v>
      </c>
      <c r="I22" s="482">
        <v>348540.1</v>
      </c>
      <c r="J22" s="482">
        <f t="shared" si="2"/>
        <v>2052799.3000000003</v>
      </c>
      <c r="K22" s="482">
        <v>2091.6</v>
      </c>
      <c r="L22" s="482">
        <v>3000.8</v>
      </c>
      <c r="M22" s="482">
        <v>316.3</v>
      </c>
      <c r="N22" s="482">
        <v>0</v>
      </c>
      <c r="O22" s="482">
        <v>0</v>
      </c>
      <c r="P22" s="482">
        <v>197736</v>
      </c>
      <c r="Q22" s="482">
        <v>147069</v>
      </c>
    </row>
    <row r="23" spans="1:17" s="741" customFormat="1" ht="11.25" customHeight="1">
      <c r="A23" s="1010" t="s">
        <v>574</v>
      </c>
      <c r="B23" s="463">
        <v>304447.5</v>
      </c>
      <c r="C23" s="463">
        <v>631729.80000000005</v>
      </c>
      <c r="D23" s="463">
        <v>1539232.5</v>
      </c>
      <c r="E23" s="463">
        <f t="shared" si="3"/>
        <v>2170962.2999999998</v>
      </c>
      <c r="F23" s="463">
        <v>234783</v>
      </c>
      <c r="G23" s="463">
        <v>189735</v>
      </c>
      <c r="H23" s="463">
        <v>1324229.7</v>
      </c>
      <c r="I23" s="463">
        <v>350604.9</v>
      </c>
      <c r="J23" s="463">
        <f>F23+G23+H23+I23</f>
        <v>2099352.6</v>
      </c>
      <c r="K23" s="463">
        <v>1590.4</v>
      </c>
      <c r="L23" s="463">
        <v>3021</v>
      </c>
      <c r="M23" s="463">
        <v>350.8</v>
      </c>
      <c r="N23" s="463">
        <v>0</v>
      </c>
      <c r="O23" s="463">
        <v>0</v>
      </c>
      <c r="P23" s="463">
        <v>206528.8</v>
      </c>
      <c r="Q23" s="463">
        <v>164566.1</v>
      </c>
    </row>
    <row r="24" spans="1:17" s="741" customFormat="1" ht="13.5" customHeight="1">
      <c r="A24" s="1009" t="s">
        <v>2351</v>
      </c>
      <c r="B24" s="1346">
        <f>B36</f>
        <v>271444.40000000002</v>
      </c>
      <c r="C24" s="1346">
        <f t="shared" ref="C24:Q24" si="4">C36</f>
        <v>730616.1</v>
      </c>
      <c r="D24" s="1346">
        <f t="shared" si="4"/>
        <v>1682224.7</v>
      </c>
      <c r="E24" s="1346">
        <f t="shared" si="4"/>
        <v>2412840.7999999998</v>
      </c>
      <c r="F24" s="1346">
        <f t="shared" si="4"/>
        <v>290116.90000000002</v>
      </c>
      <c r="G24" s="1346">
        <f t="shared" si="4"/>
        <v>199986.1</v>
      </c>
      <c r="H24" s="1346">
        <f t="shared" si="4"/>
        <v>1436739.1</v>
      </c>
      <c r="I24" s="1346">
        <f t="shared" si="4"/>
        <v>349315.4</v>
      </c>
      <c r="J24" s="1346">
        <f t="shared" si="4"/>
        <v>2276157.5</v>
      </c>
      <c r="K24" s="1346">
        <f t="shared" si="4"/>
        <v>2551</v>
      </c>
      <c r="L24" s="1346">
        <f t="shared" si="4"/>
        <v>3001.4</v>
      </c>
      <c r="M24" s="1346">
        <f t="shared" si="4"/>
        <v>212.8</v>
      </c>
      <c r="N24" s="1346">
        <f t="shared" si="4"/>
        <v>0</v>
      </c>
      <c r="O24" s="1346">
        <f t="shared" si="4"/>
        <v>0</v>
      </c>
      <c r="P24" s="1346">
        <f t="shared" si="4"/>
        <v>236062.3</v>
      </c>
      <c r="Q24" s="1346">
        <f t="shared" si="4"/>
        <v>166300.20000000001</v>
      </c>
    </row>
    <row r="25" spans="1:17" s="741" customFormat="1" ht="11.25" customHeight="1">
      <c r="A25" s="1010" t="s">
        <v>576</v>
      </c>
      <c r="B25" s="463">
        <v>297631.3</v>
      </c>
      <c r="C25" s="463">
        <v>632451.6</v>
      </c>
      <c r="D25" s="463">
        <v>1543105.5</v>
      </c>
      <c r="E25" s="463">
        <f>C25+D25</f>
        <v>2175557.1</v>
      </c>
      <c r="F25" s="463">
        <v>240348.5</v>
      </c>
      <c r="G25" s="463">
        <v>180626.8</v>
      </c>
      <c r="H25" s="463">
        <v>1328217.7</v>
      </c>
      <c r="I25" s="463">
        <v>351039.4</v>
      </c>
      <c r="J25" s="463">
        <f>F25+G25+H25+I25</f>
        <v>2100232.4</v>
      </c>
      <c r="K25" s="463">
        <v>2255.9</v>
      </c>
      <c r="L25" s="463">
        <v>2982.4</v>
      </c>
      <c r="M25" s="463">
        <v>350</v>
      </c>
      <c r="N25" s="463">
        <v>0</v>
      </c>
      <c r="O25" s="463">
        <v>0</v>
      </c>
      <c r="P25" s="463">
        <v>213112.9</v>
      </c>
      <c r="Q25" s="463">
        <v>154254.79999999999</v>
      </c>
    </row>
    <row r="26" spans="1:17" s="741" customFormat="1" ht="11.25" customHeight="1">
      <c r="A26" s="1011" t="s">
        <v>577</v>
      </c>
      <c r="B26" s="482">
        <v>282784.59999999998</v>
      </c>
      <c r="C26" s="482">
        <v>639377.1</v>
      </c>
      <c r="D26" s="482">
        <v>1552956.9</v>
      </c>
      <c r="E26" s="482">
        <f t="shared" si="3"/>
        <v>2192334</v>
      </c>
      <c r="F26" s="482">
        <v>240188.1</v>
      </c>
      <c r="G26" s="482">
        <v>177147.4</v>
      </c>
      <c r="H26" s="482">
        <v>1335603.5</v>
      </c>
      <c r="I26" s="482">
        <v>351219.7</v>
      </c>
      <c r="J26" s="482">
        <f t="shared" si="2"/>
        <v>2104158.7000000002</v>
      </c>
      <c r="K26" s="482">
        <v>2231.3000000000002</v>
      </c>
      <c r="L26" s="482">
        <v>2833.3</v>
      </c>
      <c r="M26" s="482">
        <v>349.9</v>
      </c>
      <c r="N26" s="482">
        <v>0</v>
      </c>
      <c r="O26" s="482">
        <v>0</v>
      </c>
      <c r="P26" s="482">
        <v>214757.2</v>
      </c>
      <c r="Q26" s="482">
        <v>150788.20000000001</v>
      </c>
    </row>
    <row r="27" spans="1:17" s="741" customFormat="1" ht="11.25" customHeight="1">
      <c r="A27" s="1010" t="s">
        <v>571</v>
      </c>
      <c r="B27" s="463">
        <v>279452.09999999998</v>
      </c>
      <c r="C27" s="463">
        <v>643380.1</v>
      </c>
      <c r="D27" s="463">
        <v>1570530.1</v>
      </c>
      <c r="E27" s="463">
        <f t="shared" si="3"/>
        <v>2213910.2000000002</v>
      </c>
      <c r="F27" s="463">
        <v>238302</v>
      </c>
      <c r="G27" s="463">
        <v>179326.6</v>
      </c>
      <c r="H27" s="463">
        <v>1347573.2</v>
      </c>
      <c r="I27" s="463">
        <v>351320.3</v>
      </c>
      <c r="J27" s="463">
        <f t="shared" si="2"/>
        <v>2116522.0999999996</v>
      </c>
      <c r="K27" s="463">
        <v>2164.1</v>
      </c>
      <c r="L27" s="463">
        <v>2790.8</v>
      </c>
      <c r="M27" s="463">
        <v>226.8</v>
      </c>
      <c r="N27" s="463">
        <v>0</v>
      </c>
      <c r="O27" s="463">
        <v>0</v>
      </c>
      <c r="P27" s="463">
        <v>216724.7</v>
      </c>
      <c r="Q27" s="463">
        <v>154933.79999999999</v>
      </c>
    </row>
    <row r="28" spans="1:17" s="741" customFormat="1" ht="11.25" customHeight="1">
      <c r="A28" s="1011" t="s">
        <v>578</v>
      </c>
      <c r="B28" s="482">
        <v>269847.2</v>
      </c>
      <c r="C28" s="482">
        <v>655002.4</v>
      </c>
      <c r="D28" s="482">
        <v>1582316.2</v>
      </c>
      <c r="E28" s="482">
        <f t="shared" si="3"/>
        <v>2237318.6</v>
      </c>
      <c r="F28" s="482">
        <v>234409.4</v>
      </c>
      <c r="G28" s="482">
        <v>179566.3</v>
      </c>
      <c r="H28" s="482">
        <v>1352534.9</v>
      </c>
      <c r="I28" s="482">
        <v>350456.3</v>
      </c>
      <c r="J28" s="482">
        <f t="shared" si="2"/>
        <v>2116966.9</v>
      </c>
      <c r="K28" s="482">
        <v>2367.3000000000002</v>
      </c>
      <c r="L28" s="482">
        <v>2712.4</v>
      </c>
      <c r="M28" s="482">
        <v>361.5</v>
      </c>
      <c r="N28" s="482">
        <v>0</v>
      </c>
      <c r="O28" s="482">
        <v>0</v>
      </c>
      <c r="P28" s="482">
        <v>224813</v>
      </c>
      <c r="Q28" s="482">
        <v>159944.70000000001</v>
      </c>
    </row>
    <row r="29" spans="1:17" s="741" customFormat="1" ht="11.25" customHeight="1">
      <c r="A29" s="1010" t="s">
        <v>579</v>
      </c>
      <c r="B29" s="463">
        <v>266772.8</v>
      </c>
      <c r="C29" s="463">
        <v>647965.9</v>
      </c>
      <c r="D29" s="463">
        <v>1594764.1</v>
      </c>
      <c r="E29" s="463">
        <f t="shared" si="3"/>
        <v>2242730</v>
      </c>
      <c r="F29" s="463">
        <v>251267.1</v>
      </c>
      <c r="G29" s="463">
        <v>180759.6</v>
      </c>
      <c r="H29" s="463">
        <v>1349103</v>
      </c>
      <c r="I29" s="463">
        <v>349646.6</v>
      </c>
      <c r="J29" s="463">
        <f t="shared" si="2"/>
        <v>2130776.2999999998</v>
      </c>
      <c r="K29" s="463">
        <v>2152</v>
      </c>
      <c r="L29" s="463">
        <v>2663.9</v>
      </c>
      <c r="M29" s="463">
        <v>413.6</v>
      </c>
      <c r="N29" s="463">
        <v>0</v>
      </c>
      <c r="O29" s="463">
        <v>0</v>
      </c>
      <c r="P29" s="463">
        <v>230456.8</v>
      </c>
      <c r="Q29" s="463">
        <v>143040.20000000001</v>
      </c>
    </row>
    <row r="30" spans="1:17" s="741" customFormat="1" ht="11.25" customHeight="1">
      <c r="A30" s="1011" t="s">
        <v>572</v>
      </c>
      <c r="B30" s="482">
        <v>269553.5</v>
      </c>
      <c r="C30" s="482">
        <v>641133.5</v>
      </c>
      <c r="D30" s="482">
        <v>1613160.8</v>
      </c>
      <c r="E30" s="482">
        <f t="shared" si="3"/>
        <v>2254294.2999999998</v>
      </c>
      <c r="F30" s="482">
        <v>266460</v>
      </c>
      <c r="G30" s="482">
        <v>184659.8</v>
      </c>
      <c r="H30" s="482">
        <v>1348157.2</v>
      </c>
      <c r="I30" s="482">
        <v>348407.6</v>
      </c>
      <c r="J30" s="482">
        <f t="shared" si="2"/>
        <v>2147684.6</v>
      </c>
      <c r="K30" s="482">
        <v>2251.8000000000002</v>
      </c>
      <c r="L30" s="482">
        <v>2904</v>
      </c>
      <c r="M30" s="482">
        <v>181.4</v>
      </c>
      <c r="N30" s="482">
        <v>0</v>
      </c>
      <c r="O30" s="482">
        <v>0</v>
      </c>
      <c r="P30" s="482">
        <v>242961</v>
      </c>
      <c r="Q30" s="482">
        <v>127865</v>
      </c>
    </row>
    <row r="31" spans="1:17" s="741" customFormat="1" ht="11.25" customHeight="1">
      <c r="A31" s="1010" t="s">
        <v>580</v>
      </c>
      <c r="B31" s="463">
        <v>264791.3</v>
      </c>
      <c r="C31" s="463">
        <v>651154.80000000005</v>
      </c>
      <c r="D31" s="463">
        <v>1611838.4</v>
      </c>
      <c r="E31" s="463">
        <f t="shared" si="3"/>
        <v>2262993.2000000002</v>
      </c>
      <c r="F31" s="463">
        <v>261259.9</v>
      </c>
      <c r="G31" s="463">
        <v>180701.2</v>
      </c>
      <c r="H31" s="463">
        <v>1351850.9</v>
      </c>
      <c r="I31" s="463">
        <v>348407.6</v>
      </c>
      <c r="J31" s="463">
        <f t="shared" si="2"/>
        <v>2142219.6</v>
      </c>
      <c r="K31" s="463">
        <v>1782.8</v>
      </c>
      <c r="L31" s="463">
        <v>2882</v>
      </c>
      <c r="M31" s="463">
        <v>354.6</v>
      </c>
      <c r="N31" s="463">
        <v>0</v>
      </c>
      <c r="O31" s="463">
        <v>0</v>
      </c>
      <c r="P31" s="463">
        <v>231213.8</v>
      </c>
      <c r="Q31" s="463">
        <v>149331.70000000001</v>
      </c>
    </row>
    <row r="32" spans="1:17" s="741" customFormat="1" ht="11.25" customHeight="1">
      <c r="A32" s="1011" t="s">
        <v>581</v>
      </c>
      <c r="B32" s="482">
        <v>265788.90000000002</v>
      </c>
      <c r="C32" s="482">
        <v>656952.80000000005</v>
      </c>
      <c r="D32" s="482">
        <v>1618433.7</v>
      </c>
      <c r="E32" s="482">
        <f t="shared" si="3"/>
        <v>2275386.5</v>
      </c>
      <c r="F32" s="482">
        <v>255924.9</v>
      </c>
      <c r="G32" s="482">
        <v>180185.4</v>
      </c>
      <c r="H32" s="482">
        <v>1367824.9</v>
      </c>
      <c r="I32" s="482">
        <v>348275.7</v>
      </c>
      <c r="J32" s="482">
        <f t="shared" si="2"/>
        <v>2152210.9</v>
      </c>
      <c r="K32" s="482">
        <v>2414.8000000000002</v>
      </c>
      <c r="L32" s="482">
        <v>2872.2</v>
      </c>
      <c r="M32" s="482">
        <v>306.8</v>
      </c>
      <c r="N32" s="482">
        <v>0</v>
      </c>
      <c r="O32" s="482">
        <v>0</v>
      </c>
      <c r="P32" s="482">
        <v>221862.8</v>
      </c>
      <c r="Q32" s="482">
        <v>161507.9</v>
      </c>
    </row>
    <row r="33" spans="1:38" s="741" customFormat="1" ht="11.25" customHeight="1">
      <c r="A33" s="1010" t="s">
        <v>573</v>
      </c>
      <c r="B33" s="463">
        <v>261554</v>
      </c>
      <c r="C33" s="463">
        <v>671213.8</v>
      </c>
      <c r="D33" s="463">
        <v>1632436.9</v>
      </c>
      <c r="E33" s="463">
        <f t="shared" si="3"/>
        <v>2303650.7000000002</v>
      </c>
      <c r="F33" s="463">
        <v>252913.9</v>
      </c>
      <c r="G33" s="463">
        <v>181040.4</v>
      </c>
      <c r="H33" s="463">
        <v>1384482.7</v>
      </c>
      <c r="I33" s="463">
        <v>347843</v>
      </c>
      <c r="J33" s="463">
        <f t="shared" si="2"/>
        <v>2166280</v>
      </c>
      <c r="K33" s="463">
        <v>2208.3000000000002</v>
      </c>
      <c r="L33" s="463">
        <v>3028.3</v>
      </c>
      <c r="M33" s="463">
        <v>225</v>
      </c>
      <c r="N33" s="463">
        <v>0</v>
      </c>
      <c r="O33" s="463">
        <v>0</v>
      </c>
      <c r="P33" s="463">
        <v>230398.6</v>
      </c>
      <c r="Q33" s="463">
        <v>163064.5</v>
      </c>
    </row>
    <row r="34" spans="1:38" s="741" customFormat="1" ht="11.25" customHeight="1">
      <c r="A34" s="1011" t="s">
        <v>582</v>
      </c>
      <c r="B34" s="482">
        <v>259233.8</v>
      </c>
      <c r="C34" s="482">
        <v>701748.6</v>
      </c>
      <c r="D34" s="482">
        <v>1642236</v>
      </c>
      <c r="E34" s="482">
        <f t="shared" si="3"/>
        <v>2343984.6</v>
      </c>
      <c r="F34" s="482">
        <v>261593.3</v>
      </c>
      <c r="G34" s="482">
        <v>185702.1</v>
      </c>
      <c r="H34" s="482">
        <v>1403404.4</v>
      </c>
      <c r="I34" s="482">
        <v>348590.5</v>
      </c>
      <c r="J34" s="482">
        <f t="shared" si="2"/>
        <v>2199290.2999999998</v>
      </c>
      <c r="K34" s="482">
        <v>3354.8</v>
      </c>
      <c r="L34" s="482">
        <v>3129.8</v>
      </c>
      <c r="M34" s="482">
        <v>338.2</v>
      </c>
      <c r="N34" s="482">
        <v>0</v>
      </c>
      <c r="O34" s="482">
        <v>0</v>
      </c>
      <c r="P34" s="482">
        <v>234145.1</v>
      </c>
      <c r="Q34" s="482">
        <v>162960.20000000001</v>
      </c>
    </row>
    <row r="35" spans="1:38" s="741" customFormat="1" ht="11.25" customHeight="1">
      <c r="A35" s="1010" t="s">
        <v>583</v>
      </c>
      <c r="B35" s="463">
        <v>255029</v>
      </c>
      <c r="C35" s="463">
        <v>705007.7</v>
      </c>
      <c r="D35" s="463">
        <v>1656067.6</v>
      </c>
      <c r="E35" s="463">
        <f t="shared" si="3"/>
        <v>2361075.2999999998</v>
      </c>
      <c r="F35" s="463">
        <v>254038.1</v>
      </c>
      <c r="G35" s="463">
        <v>185153.2</v>
      </c>
      <c r="H35" s="463">
        <v>1418362.7</v>
      </c>
      <c r="I35" s="463">
        <v>349301.1</v>
      </c>
      <c r="J35" s="463">
        <f t="shared" si="2"/>
        <v>2206855.1</v>
      </c>
      <c r="K35" s="463">
        <v>2835.8</v>
      </c>
      <c r="L35" s="463">
        <v>3020</v>
      </c>
      <c r="M35" s="463">
        <v>221.9</v>
      </c>
      <c r="N35" s="463">
        <v>0</v>
      </c>
      <c r="O35" s="463">
        <v>0</v>
      </c>
      <c r="P35" s="463">
        <v>237211.7</v>
      </c>
      <c r="Q35" s="463">
        <v>165959.79999999999</v>
      </c>
    </row>
    <row r="36" spans="1:38" s="741" customFormat="1" ht="11.25" customHeight="1">
      <c r="A36" s="1011" t="s">
        <v>574</v>
      </c>
      <c r="B36" s="482">
        <v>271444.40000000002</v>
      </c>
      <c r="C36" s="482">
        <v>730616.1</v>
      </c>
      <c r="D36" s="482">
        <v>1682224.7</v>
      </c>
      <c r="E36" s="482">
        <f>C36+D36</f>
        <v>2412840.7999999998</v>
      </c>
      <c r="F36" s="482">
        <v>290116.90000000002</v>
      </c>
      <c r="G36" s="482">
        <v>199986.1</v>
      </c>
      <c r="H36" s="482">
        <v>1436739.1</v>
      </c>
      <c r="I36" s="482">
        <v>349315.4</v>
      </c>
      <c r="J36" s="482">
        <f>F36+G36+H36+I36</f>
        <v>2276157.5</v>
      </c>
      <c r="K36" s="482">
        <v>2551</v>
      </c>
      <c r="L36" s="482">
        <v>3001.4</v>
      </c>
      <c r="M36" s="482">
        <v>212.8</v>
      </c>
      <c r="N36" s="482">
        <v>0</v>
      </c>
      <c r="O36" s="482">
        <v>0</v>
      </c>
      <c r="P36" s="482">
        <v>236062.3</v>
      </c>
      <c r="Q36" s="482">
        <v>166300.20000000001</v>
      </c>
    </row>
    <row r="37" spans="1:38" s="741" customFormat="1" ht="13.5" customHeight="1">
      <c r="A37" s="1084" t="s">
        <v>2526</v>
      </c>
      <c r="B37" s="463"/>
      <c r="C37" s="463"/>
      <c r="D37" s="463"/>
      <c r="E37" s="463"/>
      <c r="F37" s="463"/>
      <c r="G37" s="463"/>
      <c r="H37" s="463"/>
      <c r="I37" s="463"/>
      <c r="J37" s="463"/>
      <c r="K37" s="463"/>
      <c r="L37" s="463"/>
      <c r="M37" s="463"/>
      <c r="N37" s="463"/>
      <c r="O37" s="463"/>
      <c r="P37" s="463"/>
      <c r="Q37" s="463"/>
    </row>
    <row r="38" spans="1:38" s="741" customFormat="1" ht="11.25" customHeight="1">
      <c r="A38" s="1011" t="s">
        <v>576</v>
      </c>
      <c r="B38" s="482">
        <v>274298.8</v>
      </c>
      <c r="C38" s="482">
        <v>732794.6</v>
      </c>
      <c r="D38" s="482">
        <v>1675780.3</v>
      </c>
      <c r="E38" s="482">
        <f t="shared" ref="E38:E43" si="5">C38+D38</f>
        <v>2408574.9</v>
      </c>
      <c r="F38" s="482">
        <v>264545.7</v>
      </c>
      <c r="G38" s="482">
        <v>193117.3</v>
      </c>
      <c r="H38" s="482">
        <v>1457685</v>
      </c>
      <c r="I38" s="482">
        <v>349129.2</v>
      </c>
      <c r="J38" s="482">
        <f t="shared" si="2"/>
        <v>2264477.2000000002</v>
      </c>
      <c r="K38" s="482">
        <v>2367.9</v>
      </c>
      <c r="L38" s="482">
        <v>2971.3</v>
      </c>
      <c r="M38" s="482">
        <v>374.3</v>
      </c>
      <c r="N38" s="482">
        <v>0</v>
      </c>
      <c r="O38" s="482">
        <v>0</v>
      </c>
      <c r="P38" s="482">
        <v>243056.3</v>
      </c>
      <c r="Q38" s="482">
        <v>169626.7</v>
      </c>
    </row>
    <row r="39" spans="1:38" s="741" customFormat="1" ht="11.25" customHeight="1">
      <c r="A39" s="1010" t="s">
        <v>577</v>
      </c>
      <c r="B39" s="463">
        <v>263685.59999999998</v>
      </c>
      <c r="C39" s="463">
        <v>724057.2</v>
      </c>
      <c r="D39" s="463">
        <v>1686202.1</v>
      </c>
      <c r="E39" s="463">
        <f t="shared" si="5"/>
        <v>2410259.2999999998</v>
      </c>
      <c r="F39" s="463">
        <v>256537</v>
      </c>
      <c r="G39" s="463">
        <v>187721.8</v>
      </c>
      <c r="H39" s="463">
        <v>1475250.5</v>
      </c>
      <c r="I39" s="463">
        <v>348448.8</v>
      </c>
      <c r="J39" s="463">
        <f t="shared" si="2"/>
        <v>2267958.1</v>
      </c>
      <c r="K39" s="463">
        <v>1774.4</v>
      </c>
      <c r="L39" s="463">
        <v>2911.8</v>
      </c>
      <c r="M39" s="463">
        <v>321.89999999999998</v>
      </c>
      <c r="N39" s="463">
        <v>0</v>
      </c>
      <c r="O39" s="463">
        <v>0</v>
      </c>
      <c r="P39" s="463">
        <v>247771.8</v>
      </c>
      <c r="Q39" s="463">
        <v>153206.9</v>
      </c>
    </row>
    <row r="40" spans="1:38" s="741" customFormat="1" ht="11.25" customHeight="1">
      <c r="A40" s="1011" t="s">
        <v>571</v>
      </c>
      <c r="B40" s="482">
        <v>251186.7</v>
      </c>
      <c r="C40" s="482">
        <v>712650.4</v>
      </c>
      <c r="D40" s="482">
        <v>1706448.5</v>
      </c>
      <c r="E40" s="482">
        <f t="shared" si="5"/>
        <v>2419098.9</v>
      </c>
      <c r="F40" s="482">
        <v>251677.7</v>
      </c>
      <c r="G40" s="482">
        <v>187933.2</v>
      </c>
      <c r="H40" s="482">
        <v>1479825.7</v>
      </c>
      <c r="I40" s="482">
        <v>348369</v>
      </c>
      <c r="J40" s="482">
        <f t="shared" si="2"/>
        <v>2267805.6</v>
      </c>
      <c r="K40" s="482">
        <v>2838.2</v>
      </c>
      <c r="L40" s="482">
        <v>3016.1</v>
      </c>
      <c r="M40" s="482">
        <v>210.5</v>
      </c>
      <c r="N40" s="482">
        <v>0</v>
      </c>
      <c r="O40" s="482">
        <v>0</v>
      </c>
      <c r="P40" s="482">
        <v>251682.1</v>
      </c>
      <c r="Q40" s="482">
        <v>144733.1</v>
      </c>
    </row>
    <row r="41" spans="1:38" s="741" customFormat="1" ht="11.25" customHeight="1">
      <c r="A41" s="1010" t="s">
        <v>578</v>
      </c>
      <c r="B41" s="463">
        <v>242178.7</v>
      </c>
      <c r="C41" s="463">
        <v>707899.4</v>
      </c>
      <c r="D41" s="463">
        <v>1721393.7</v>
      </c>
      <c r="E41" s="463">
        <f t="shared" si="5"/>
        <v>2429293.1</v>
      </c>
      <c r="F41" s="463">
        <v>244105.7</v>
      </c>
      <c r="G41" s="463">
        <v>194822.5</v>
      </c>
      <c r="H41" s="463">
        <v>1486765.1</v>
      </c>
      <c r="I41" s="463">
        <v>347525.6</v>
      </c>
      <c r="J41" s="463">
        <f t="shared" si="2"/>
        <v>2273218.9</v>
      </c>
      <c r="K41" s="463">
        <v>2555.5</v>
      </c>
      <c r="L41" s="463">
        <v>2998.4</v>
      </c>
      <c r="M41" s="463">
        <v>181.4</v>
      </c>
      <c r="N41" s="463">
        <v>0</v>
      </c>
      <c r="O41" s="463">
        <v>0</v>
      </c>
      <c r="P41" s="463">
        <v>253994.4</v>
      </c>
      <c r="Q41" s="463">
        <v>138523.20000000001</v>
      </c>
    </row>
    <row r="42" spans="1:38" s="741" customFormat="1" ht="11.25" customHeight="1">
      <c r="A42" s="1011" t="s">
        <v>579</v>
      </c>
      <c r="B42" s="482">
        <v>227888.8</v>
      </c>
      <c r="C42" s="482">
        <v>702218.6</v>
      </c>
      <c r="D42" s="482">
        <v>1741306.4</v>
      </c>
      <c r="E42" s="482">
        <f t="shared" si="5"/>
        <v>2443525</v>
      </c>
      <c r="F42" s="482">
        <v>246597.1</v>
      </c>
      <c r="G42" s="482">
        <v>192534.7</v>
      </c>
      <c r="H42" s="482">
        <v>1494585.4</v>
      </c>
      <c r="I42" s="482">
        <v>346172.1</v>
      </c>
      <c r="J42" s="482">
        <f t="shared" si="2"/>
        <v>2279889.2999999998</v>
      </c>
      <c r="K42" s="482">
        <v>1923</v>
      </c>
      <c r="L42" s="482">
        <v>3144</v>
      </c>
      <c r="M42" s="482">
        <v>243</v>
      </c>
      <c r="N42" s="482">
        <v>0</v>
      </c>
      <c r="O42" s="482">
        <v>0</v>
      </c>
      <c r="P42" s="482">
        <v>259688.2</v>
      </c>
      <c r="Q42" s="482">
        <v>126526.3</v>
      </c>
    </row>
    <row r="43" spans="1:38" s="741" customFormat="1" ht="11.25" customHeight="1" thickBot="1">
      <c r="A43" s="1758" t="s">
        <v>572</v>
      </c>
      <c r="B43" s="1759">
        <v>240084.7</v>
      </c>
      <c r="C43" s="1759">
        <v>686862</v>
      </c>
      <c r="D43" s="1759">
        <v>1764046.1</v>
      </c>
      <c r="E43" s="1759">
        <f t="shared" si="5"/>
        <v>2450908.1</v>
      </c>
      <c r="F43" s="1759">
        <v>253010.6</v>
      </c>
      <c r="G43" s="1759">
        <v>198613.6</v>
      </c>
      <c r="H43" s="1759">
        <v>1502510.7</v>
      </c>
      <c r="I43" s="1759">
        <v>344164.5</v>
      </c>
      <c r="J43" s="1759">
        <f t="shared" si="2"/>
        <v>2298299.4</v>
      </c>
      <c r="K43" s="1759">
        <v>3147.4</v>
      </c>
      <c r="L43" s="1759">
        <v>3785.7</v>
      </c>
      <c r="M43" s="1759">
        <v>221.5</v>
      </c>
      <c r="N43" s="1759">
        <v>0</v>
      </c>
      <c r="O43" s="1759">
        <v>0</v>
      </c>
      <c r="P43" s="1759">
        <v>269969.2</v>
      </c>
      <c r="Q43" s="1759">
        <v>115569.60000000001</v>
      </c>
    </row>
    <row r="44" spans="1:38" ht="16.5" customHeight="1">
      <c r="A44" s="735" t="s">
        <v>1429</v>
      </c>
      <c r="B44" s="736" t="s">
        <v>1297</v>
      </c>
      <c r="F44" s="741"/>
      <c r="G44" s="741"/>
      <c r="H44" s="741"/>
      <c r="I44" s="1216"/>
      <c r="J44" s="746"/>
      <c r="K44" s="746"/>
      <c r="L44" s="1274"/>
      <c r="M44" s="1274"/>
      <c r="N44" s="746"/>
      <c r="O44" s="1274"/>
      <c r="P44" s="746"/>
      <c r="Q44" s="1217"/>
      <c r="R44" s="1165"/>
    </row>
    <row r="45" spans="1:38" ht="14.25" customHeight="1">
      <c r="B45" s="1273"/>
      <c r="C45" s="1244"/>
      <c r="D45" s="1273"/>
      <c r="E45" s="1273"/>
      <c r="F45" s="1244"/>
      <c r="G45" s="1244"/>
      <c r="H45" s="1244"/>
      <c r="I45" s="741"/>
      <c r="J45" s="1244"/>
      <c r="K45" s="1231"/>
      <c r="L45" s="1231"/>
      <c r="M45" s="1231"/>
      <c r="N45" s="1231"/>
      <c r="O45" s="1217"/>
      <c r="P45" s="1231"/>
      <c r="Q45" s="742"/>
      <c r="R45" s="1165"/>
    </row>
    <row r="46" spans="1:38">
      <c r="A46" s="1273"/>
      <c r="B46" s="1273"/>
      <c r="C46" s="1244"/>
      <c r="D46" s="1273"/>
      <c r="E46" s="1273"/>
      <c r="F46" s="1244"/>
      <c r="G46" s="1244"/>
      <c r="H46" s="1244"/>
      <c r="I46" s="1327"/>
      <c r="J46" s="1244"/>
      <c r="K46" s="1231"/>
      <c r="L46" s="1231"/>
      <c r="M46" s="1231"/>
      <c r="N46" s="1231"/>
      <c r="O46" s="1217"/>
      <c r="P46" s="871"/>
      <c r="Q46" s="1327"/>
      <c r="R46" s="1327"/>
      <c r="S46" s="1273"/>
      <c r="T46" s="1273"/>
      <c r="U46" s="1273"/>
      <c r="V46" s="1273"/>
      <c r="W46" s="1273"/>
      <c r="X46" s="1273"/>
      <c r="Y46" s="1273"/>
      <c r="Z46" s="1273"/>
      <c r="AA46" s="1273"/>
      <c r="AB46" s="1273"/>
      <c r="AC46" s="1273"/>
      <c r="AD46" s="1273"/>
      <c r="AE46" s="1273"/>
      <c r="AF46" s="1273"/>
      <c r="AG46" s="1273"/>
      <c r="AH46" s="1273"/>
      <c r="AI46" s="1273"/>
      <c r="AJ46" s="1273"/>
      <c r="AK46" s="1273"/>
      <c r="AL46" s="1273"/>
    </row>
    <row r="47" spans="1:38" ht="13.5" customHeight="1">
      <c r="A47" s="1273"/>
      <c r="B47" s="1273"/>
      <c r="C47" s="1273"/>
      <c r="D47" s="1273"/>
      <c r="E47" s="1273"/>
      <c r="F47" s="1273"/>
      <c r="G47" s="1273"/>
      <c r="H47" s="1273"/>
      <c r="I47" s="1273"/>
      <c r="J47" s="1273"/>
      <c r="K47" s="1273"/>
      <c r="L47" s="1273"/>
      <c r="M47" s="1273"/>
      <c r="N47" s="1273"/>
      <c r="O47" s="1273"/>
      <c r="P47" s="1273"/>
      <c r="Q47" s="1273"/>
      <c r="R47" s="1328"/>
    </row>
    <row r="48" spans="1:38" ht="13.5" customHeight="1">
      <c r="A48" s="1273"/>
      <c r="B48" s="1273"/>
      <c r="C48" s="1273"/>
      <c r="D48" s="1273"/>
      <c r="E48" s="1273"/>
      <c r="F48" s="1273"/>
      <c r="G48" s="1273"/>
      <c r="H48" s="1273"/>
      <c r="I48" s="1273"/>
      <c r="J48" s="1273"/>
      <c r="K48" s="1273"/>
      <c r="L48" s="1273"/>
      <c r="M48" s="1273"/>
      <c r="N48" s="1273"/>
      <c r="O48" s="1273"/>
      <c r="P48" s="1273"/>
      <c r="Q48" s="1273"/>
      <c r="R48" s="1328"/>
    </row>
    <row r="49" spans="1:18">
      <c r="A49" s="1273"/>
      <c r="B49" s="1273"/>
      <c r="C49" s="1273"/>
      <c r="D49" s="1273"/>
      <c r="E49" s="1273"/>
      <c r="F49" s="1273"/>
      <c r="G49" s="1273"/>
      <c r="H49" s="1273"/>
      <c r="I49" s="1273"/>
      <c r="J49" s="1273"/>
      <c r="K49" s="1273"/>
      <c r="L49" s="1273"/>
      <c r="M49" s="1273"/>
      <c r="N49" s="1273"/>
      <c r="O49" s="1273"/>
      <c r="P49" s="1273"/>
      <c r="Q49" s="1273"/>
      <c r="R49" s="1328"/>
    </row>
    <row r="50" spans="1:18">
      <c r="A50" s="1273"/>
      <c r="B50" s="1273"/>
      <c r="C50" s="1273"/>
      <c r="D50" s="1273"/>
      <c r="E50" s="1273"/>
      <c r="F50" s="1273"/>
      <c r="G50" s="1273"/>
      <c r="H50" s="1273"/>
      <c r="I50" s="1273"/>
      <c r="J50" s="1273"/>
      <c r="K50" s="1273"/>
      <c r="L50" s="1273"/>
      <c r="M50" s="1273"/>
      <c r="N50" s="1273"/>
      <c r="O50" s="1273"/>
      <c r="P50" s="1273"/>
      <c r="Q50" s="1273"/>
      <c r="R50" s="1328"/>
    </row>
    <row r="51" spans="1:18">
      <c r="A51" s="1273"/>
      <c r="B51" s="1273"/>
      <c r="C51" s="1273"/>
      <c r="D51" s="1273"/>
      <c r="E51" s="1273"/>
      <c r="F51" s="1273"/>
      <c r="G51" s="1273"/>
      <c r="H51" s="1273"/>
      <c r="I51" s="1273"/>
      <c r="J51" s="1273"/>
      <c r="K51" s="1273"/>
      <c r="L51" s="1273"/>
      <c r="M51" s="1273"/>
      <c r="N51" s="1273"/>
      <c r="O51" s="1273"/>
      <c r="P51" s="1273"/>
      <c r="Q51" s="1273"/>
      <c r="R51" s="1328"/>
    </row>
    <row r="52" spans="1:18">
      <c r="A52" s="1273"/>
      <c r="B52" s="1273"/>
      <c r="C52" s="1273"/>
      <c r="D52" s="1273"/>
      <c r="E52" s="1273"/>
      <c r="F52" s="1273"/>
      <c r="G52" s="1273"/>
      <c r="H52" s="1273"/>
      <c r="I52" s="1273"/>
      <c r="J52" s="1273"/>
      <c r="K52" s="1273"/>
      <c r="L52" s="1273"/>
      <c r="M52" s="1273"/>
      <c r="N52" s="1273"/>
      <c r="O52" s="1273"/>
      <c r="P52" s="1273"/>
      <c r="Q52" s="1273"/>
      <c r="R52" s="1328"/>
    </row>
    <row r="53" spans="1:18">
      <c r="A53" s="1273"/>
      <c r="B53" s="1273"/>
      <c r="C53" s="1273"/>
      <c r="D53" s="1273"/>
      <c r="E53" s="1273"/>
      <c r="F53" s="1273"/>
      <c r="G53" s="1273"/>
      <c r="H53" s="1273"/>
      <c r="I53" s="1273"/>
      <c r="J53" s="1273"/>
      <c r="K53" s="1273"/>
      <c r="L53" s="1273"/>
      <c r="M53" s="1273"/>
      <c r="N53" s="1273"/>
      <c r="O53" s="1273"/>
      <c r="P53" s="1273"/>
      <c r="Q53" s="1273"/>
      <c r="R53" s="1328"/>
    </row>
    <row r="54" spans="1:18">
      <c r="A54" s="1273"/>
      <c r="B54" s="1273"/>
      <c r="C54" s="1273"/>
      <c r="D54" s="1273"/>
      <c r="E54" s="1273"/>
      <c r="F54" s="1273"/>
      <c r="G54" s="1273"/>
      <c r="H54" s="1273"/>
      <c r="I54" s="1273"/>
      <c r="J54" s="1273"/>
      <c r="K54" s="1273"/>
      <c r="L54" s="1273"/>
      <c r="M54" s="1273"/>
      <c r="N54" s="1273"/>
      <c r="O54" s="1273"/>
      <c r="P54" s="1273"/>
      <c r="Q54" s="1273"/>
      <c r="R54" s="1328"/>
    </row>
    <row r="55" spans="1:18">
      <c r="A55" s="1273"/>
      <c r="B55" s="1273"/>
      <c r="C55" s="1311"/>
      <c r="D55" s="1273"/>
      <c r="E55" s="1273"/>
      <c r="F55" s="1328"/>
      <c r="G55" s="1328"/>
      <c r="H55" s="1328"/>
      <c r="I55" s="1328"/>
      <c r="J55" s="1329"/>
      <c r="K55" s="1231"/>
      <c r="L55" s="1231"/>
      <c r="M55" s="1231"/>
      <c r="N55" s="1231"/>
      <c r="O55" s="1274"/>
      <c r="P55" s="1328"/>
      <c r="Q55" s="1328"/>
      <c r="R55" s="1328"/>
    </row>
    <row r="56" spans="1:18">
      <c r="A56" s="1273"/>
      <c r="B56" s="1273"/>
      <c r="C56" s="1313"/>
      <c r="D56" s="1273"/>
      <c r="E56" s="1165"/>
      <c r="F56" s="1328"/>
      <c r="G56" s="1328"/>
      <c r="H56" s="1328"/>
      <c r="I56" s="1328"/>
      <c r="J56" s="1329"/>
      <c r="K56" s="1231"/>
      <c r="L56" s="1231"/>
      <c r="M56" s="1231"/>
      <c r="N56" s="1231"/>
      <c r="O56" s="1274"/>
      <c r="P56" s="1328"/>
      <c r="Q56" s="1328"/>
      <c r="R56" s="1328"/>
    </row>
    <row r="57" spans="1:18">
      <c r="A57" s="1273"/>
      <c r="B57" s="1273"/>
      <c r="C57" s="1313"/>
      <c r="D57" s="1273"/>
      <c r="E57" s="1165"/>
      <c r="F57" s="1328"/>
      <c r="G57" s="1328"/>
      <c r="H57" s="1328"/>
      <c r="I57" s="1328"/>
      <c r="J57" s="1329"/>
      <c r="K57" s="1231"/>
      <c r="L57" s="1231"/>
      <c r="M57" s="1231"/>
      <c r="N57" s="1231"/>
      <c r="O57" s="1274"/>
      <c r="P57" s="1331"/>
      <c r="Q57" s="1331"/>
      <c r="R57" s="1331"/>
    </row>
    <row r="58" spans="1:18">
      <c r="A58" s="1273"/>
      <c r="B58" s="1273"/>
      <c r="C58" s="1313"/>
      <c r="D58" s="1273"/>
      <c r="E58" s="1165"/>
      <c r="F58" s="1328"/>
      <c r="G58" s="1328"/>
      <c r="H58" s="1328"/>
      <c r="I58" s="1328"/>
      <c r="J58" s="1329"/>
      <c r="K58" s="1231"/>
      <c r="L58" s="1231"/>
      <c r="M58" s="1231"/>
      <c r="N58" s="1231"/>
      <c r="O58" s="1274"/>
      <c r="P58" s="1331"/>
      <c r="Q58" s="1331"/>
      <c r="R58" s="1331"/>
    </row>
    <row r="59" spans="1:18">
      <c r="A59" s="1273"/>
      <c r="B59" s="1273"/>
      <c r="C59" s="1313"/>
      <c r="D59" s="1273"/>
      <c r="E59" s="1165"/>
      <c r="F59" s="1328"/>
      <c r="G59" s="1328"/>
      <c r="H59" s="1328"/>
      <c r="I59" s="1328"/>
      <c r="J59" s="1329"/>
      <c r="K59" s="1231"/>
      <c r="L59" s="1231"/>
      <c r="M59" s="1231"/>
      <c r="N59" s="1231"/>
      <c r="O59" s="1274"/>
      <c r="P59" s="1331"/>
      <c r="Q59" s="1331"/>
      <c r="R59" s="1331"/>
    </row>
    <row r="60" spans="1:18">
      <c r="A60" s="1273"/>
      <c r="B60" s="1273"/>
      <c r="C60" s="1313"/>
      <c r="D60" s="1273"/>
      <c r="E60" s="1165"/>
      <c r="F60" s="1328"/>
      <c r="G60" s="1328"/>
      <c r="H60" s="1328"/>
      <c r="I60" s="1328"/>
      <c r="J60" s="1329"/>
      <c r="K60" s="1231"/>
      <c r="L60" s="1231"/>
      <c r="M60" s="1231"/>
      <c r="N60" s="1231"/>
      <c r="O60" s="1274"/>
      <c r="P60" s="1331"/>
      <c r="Q60" s="1331"/>
      <c r="R60" s="1331"/>
    </row>
    <row r="61" spans="1:18">
      <c r="A61" s="1273"/>
      <c r="B61" s="1273"/>
      <c r="C61" s="1313"/>
      <c r="D61" s="1273"/>
      <c r="E61" s="1165"/>
      <c r="F61" s="1328"/>
      <c r="G61" s="1328"/>
      <c r="H61" s="1328"/>
      <c r="I61" s="1328"/>
      <c r="J61" s="1329"/>
      <c r="K61" s="1231"/>
      <c r="L61" s="1231"/>
      <c r="M61" s="1231"/>
      <c r="N61" s="1231"/>
      <c r="O61" s="1274"/>
      <c r="P61" s="1331"/>
      <c r="Q61" s="1331"/>
      <c r="R61" s="1331"/>
    </row>
    <row r="62" spans="1:18">
      <c r="A62" s="1273"/>
      <c r="B62" s="1273"/>
      <c r="C62" s="1313"/>
      <c r="D62" s="1273"/>
      <c r="E62" s="1165"/>
      <c r="F62" s="1328"/>
      <c r="G62" s="1328"/>
      <c r="H62" s="1328"/>
      <c r="I62" s="1328"/>
      <c r="J62" s="1329"/>
      <c r="K62" s="1231"/>
      <c r="L62" s="1231"/>
      <c r="M62" s="1231"/>
      <c r="N62" s="1231"/>
      <c r="O62" s="1274"/>
      <c r="P62" s="1331"/>
      <c r="Q62" s="1331"/>
      <c r="R62" s="1331"/>
    </row>
    <row r="63" spans="1:18">
      <c r="A63" s="1273"/>
      <c r="B63" s="1273"/>
      <c r="C63" s="1313"/>
      <c r="D63" s="1273"/>
      <c r="E63" s="1165"/>
      <c r="F63" s="1328"/>
      <c r="G63" s="1328"/>
      <c r="H63" s="1328"/>
      <c r="I63" s="1328"/>
      <c r="J63" s="1329"/>
      <c r="K63" s="1231"/>
      <c r="L63" s="1231"/>
      <c r="M63" s="1231"/>
      <c r="N63" s="1231"/>
      <c r="O63" s="1274"/>
      <c r="P63" s="1331"/>
      <c r="Q63" s="1331"/>
      <c r="R63" s="1331"/>
    </row>
    <row r="64" spans="1:18">
      <c r="A64" s="1273"/>
      <c r="B64" s="1273"/>
      <c r="C64" s="1313"/>
      <c r="D64" s="1273"/>
      <c r="E64" s="1165"/>
      <c r="F64" s="1328"/>
      <c r="G64" s="1328"/>
      <c r="H64" s="1328"/>
      <c r="I64" s="1328"/>
      <c r="J64" s="1329"/>
      <c r="K64" s="1231"/>
      <c r="L64" s="1231"/>
      <c r="M64" s="1231"/>
      <c r="N64" s="1231"/>
      <c r="O64" s="1274"/>
      <c r="P64" s="1331"/>
      <c r="Q64" s="1331"/>
      <c r="R64" s="1331"/>
    </row>
    <row r="65" spans="1:18">
      <c r="A65" s="1273"/>
      <c r="B65" s="1273"/>
      <c r="C65" s="1313"/>
      <c r="D65" s="1273"/>
      <c r="E65" s="1165"/>
      <c r="F65" s="1328"/>
      <c r="G65" s="1328"/>
      <c r="H65" s="1328"/>
      <c r="I65" s="1328"/>
      <c r="J65" s="1329"/>
      <c r="K65" s="1231"/>
      <c r="L65" s="1231"/>
      <c r="M65" s="1231"/>
      <c r="N65" s="1231"/>
      <c r="O65" s="1274"/>
      <c r="P65" s="1331"/>
      <c r="Q65" s="1331"/>
      <c r="R65" s="1331"/>
    </row>
    <row r="66" spans="1:18">
      <c r="A66" s="1273"/>
      <c r="B66" s="1273"/>
      <c r="C66" s="1313"/>
      <c r="D66" s="1273"/>
      <c r="E66" s="1165"/>
      <c r="F66" s="1328"/>
      <c r="G66" s="1328"/>
      <c r="H66" s="1328"/>
      <c r="I66" s="1328"/>
      <c r="J66" s="1329"/>
      <c r="K66" s="1231"/>
      <c r="L66" s="1231"/>
      <c r="M66" s="1231"/>
      <c r="N66" s="1231"/>
      <c r="O66" s="1274"/>
      <c r="P66" s="1331"/>
      <c r="Q66" s="1331"/>
      <c r="R66" s="1331"/>
    </row>
    <row r="67" spans="1:18">
      <c r="A67" s="1273"/>
      <c r="B67" s="1273"/>
      <c r="C67" s="1313"/>
      <c r="D67" s="1273"/>
      <c r="E67" s="1165"/>
      <c r="F67" s="1328"/>
      <c r="G67" s="1328"/>
      <c r="H67" s="1328"/>
      <c r="I67" s="1328"/>
      <c r="J67" s="1329"/>
      <c r="K67" s="1231"/>
      <c r="L67" s="1231"/>
      <c r="M67" s="1231"/>
      <c r="N67" s="1231"/>
      <c r="O67" s="1274"/>
      <c r="P67" s="1331"/>
      <c r="Q67" s="1331"/>
      <c r="R67" s="1331"/>
    </row>
    <row r="68" spans="1:18">
      <c r="A68" s="1273"/>
      <c r="B68" s="1273"/>
      <c r="C68" s="1313"/>
      <c r="D68" s="1273"/>
      <c r="E68" s="1165"/>
      <c r="F68" s="1328"/>
      <c r="G68" s="1328"/>
      <c r="H68" s="1328"/>
      <c r="I68" s="1328"/>
      <c r="J68" s="1329"/>
      <c r="K68" s="1231"/>
      <c r="L68" s="1231"/>
      <c r="M68" s="1231"/>
      <c r="N68" s="1231"/>
      <c r="O68" s="1274"/>
      <c r="P68" s="1331"/>
      <c r="Q68" s="1331"/>
      <c r="R68" s="1331"/>
    </row>
    <row r="69" spans="1:18">
      <c r="A69" s="1273"/>
      <c r="B69" s="1273"/>
      <c r="C69" s="1313"/>
      <c r="D69" s="1273"/>
      <c r="E69" s="1165"/>
      <c r="F69" s="1328"/>
      <c r="G69" s="1328"/>
      <c r="H69" s="1328"/>
      <c r="I69" s="1328"/>
      <c r="J69" s="1329"/>
      <c r="K69" s="1231"/>
      <c r="L69" s="1231"/>
      <c r="M69" s="1231"/>
      <c r="N69" s="1231"/>
      <c r="O69" s="1274"/>
      <c r="P69" s="1331"/>
      <c r="Q69" s="1331"/>
      <c r="R69" s="1331"/>
    </row>
    <row r="70" spans="1:18">
      <c r="A70" s="1273"/>
      <c r="B70" s="1273"/>
      <c r="C70" s="1313"/>
      <c r="D70" s="1273"/>
      <c r="E70" s="1165"/>
      <c r="F70" s="1328"/>
      <c r="G70" s="1328"/>
      <c r="H70" s="1328"/>
      <c r="I70" s="1328"/>
      <c r="J70" s="1329"/>
      <c r="K70" s="1231"/>
      <c r="L70" s="1231"/>
      <c r="M70" s="1231"/>
      <c r="N70" s="1231"/>
      <c r="O70" s="1274"/>
      <c r="P70" s="1331"/>
      <c r="Q70" s="1331"/>
      <c r="R70" s="1331"/>
    </row>
    <row r="71" spans="1:18">
      <c r="A71" s="1273"/>
      <c r="B71" s="1273"/>
      <c r="C71" s="1313"/>
      <c r="D71" s="1273"/>
      <c r="E71" s="1165"/>
      <c r="F71" s="1328"/>
      <c r="G71" s="1328"/>
      <c r="H71" s="1328"/>
      <c r="I71" s="1328"/>
      <c r="J71" s="1329"/>
      <c r="K71" s="1231"/>
      <c r="L71" s="1231"/>
      <c r="M71" s="1231"/>
      <c r="N71" s="1231"/>
      <c r="O71" s="1274"/>
      <c r="P71" s="1331"/>
      <c r="Q71" s="1331"/>
      <c r="R71" s="1331"/>
    </row>
    <row r="72" spans="1:18">
      <c r="A72" s="1273"/>
      <c r="B72" s="1273"/>
      <c r="C72" s="1313"/>
      <c r="D72" s="1273"/>
      <c r="E72" s="1165"/>
      <c r="F72" s="1328"/>
      <c r="G72" s="1328"/>
      <c r="H72" s="1328"/>
      <c r="I72" s="1328"/>
      <c r="J72" s="1329"/>
      <c r="K72" s="1231"/>
      <c r="L72" s="1231"/>
      <c r="M72" s="1231"/>
      <c r="N72" s="1231"/>
      <c r="O72" s="1274"/>
      <c r="P72" s="1331"/>
      <c r="Q72" s="1331"/>
      <c r="R72" s="1331"/>
    </row>
    <row r="73" spans="1:18">
      <c r="A73" s="1273"/>
      <c r="B73" s="1273"/>
      <c r="C73" s="1313"/>
      <c r="D73" s="1273"/>
      <c r="E73" s="1165"/>
      <c r="F73" s="1328"/>
      <c r="G73" s="1328"/>
      <c r="H73" s="1328"/>
      <c r="I73" s="1328"/>
      <c r="J73" s="1329"/>
      <c r="K73" s="1231"/>
      <c r="L73" s="1231"/>
      <c r="M73" s="1231"/>
      <c r="N73" s="1231"/>
      <c r="O73" s="1274"/>
      <c r="P73" s="1331"/>
      <c r="Q73" s="1331"/>
      <c r="R73" s="1331"/>
    </row>
    <row r="74" spans="1:18">
      <c r="A74" s="1273"/>
      <c r="B74" s="1273"/>
      <c r="C74" s="1313"/>
      <c r="D74" s="1273"/>
      <c r="E74" s="1165"/>
      <c r="F74" s="1328"/>
      <c r="G74" s="1328"/>
      <c r="H74" s="1328"/>
      <c r="I74" s="1328"/>
      <c r="J74" s="1329"/>
      <c r="K74" s="1231"/>
      <c r="L74" s="1231"/>
      <c r="M74" s="1231"/>
      <c r="N74" s="1231"/>
      <c r="O74" s="1274"/>
      <c r="P74" s="1331"/>
      <c r="Q74" s="1331"/>
      <c r="R74" s="1331"/>
    </row>
    <row r="75" spans="1:18">
      <c r="A75" s="1273"/>
      <c r="B75" s="1273"/>
      <c r="C75" s="1313"/>
      <c r="D75" s="1273"/>
      <c r="E75" s="1165"/>
      <c r="F75" s="1328"/>
      <c r="G75" s="1328"/>
      <c r="H75" s="1328"/>
      <c r="I75" s="1328"/>
      <c r="J75" s="1329"/>
      <c r="K75" s="1231"/>
      <c r="L75" s="1231"/>
      <c r="M75" s="1231"/>
      <c r="N75" s="1231"/>
      <c r="O75" s="1274"/>
      <c r="P75" s="1331"/>
      <c r="Q75" s="1331"/>
      <c r="R75" s="1331"/>
    </row>
    <row r="76" spans="1:18">
      <c r="A76" s="1273"/>
      <c r="B76" s="1273"/>
      <c r="C76" s="1313"/>
      <c r="D76" s="1273"/>
      <c r="E76" s="1165"/>
      <c r="F76" s="1328"/>
      <c r="G76" s="1328"/>
      <c r="H76" s="1328"/>
      <c r="I76" s="1328"/>
      <c r="J76" s="1329"/>
      <c r="K76" s="1231"/>
      <c r="L76" s="1231"/>
      <c r="M76" s="1231"/>
      <c r="N76" s="1231"/>
      <c r="O76" s="1274"/>
      <c r="P76" s="1331"/>
      <c r="Q76" s="1331"/>
      <c r="R76" s="1331"/>
    </row>
    <row r="77" spans="1:18">
      <c r="A77" s="1273"/>
      <c r="B77" s="1273"/>
      <c r="C77" s="1313"/>
      <c r="D77" s="1273"/>
      <c r="E77" s="1165"/>
      <c r="F77" s="1328"/>
      <c r="G77" s="1328"/>
      <c r="H77" s="1328"/>
      <c r="I77" s="1328"/>
      <c r="J77" s="1329"/>
      <c r="K77" s="1231"/>
      <c r="L77" s="1231"/>
      <c r="M77" s="1231"/>
      <c r="N77" s="1231"/>
      <c r="O77" s="1274"/>
      <c r="P77" s="1331"/>
      <c r="Q77" s="1331"/>
      <c r="R77" s="1331"/>
    </row>
    <row r="78" spans="1:18">
      <c r="A78" s="1273"/>
      <c r="B78" s="1273"/>
      <c r="C78" s="1313"/>
      <c r="D78" s="1273"/>
      <c r="E78" s="1165"/>
      <c r="F78" s="1328"/>
      <c r="G78" s="1328"/>
      <c r="H78" s="1328"/>
      <c r="I78" s="1328"/>
      <c r="J78" s="1329"/>
      <c r="K78" s="1231"/>
      <c r="L78" s="1231"/>
      <c r="M78" s="1231"/>
      <c r="N78" s="1231"/>
      <c r="O78" s="1274"/>
      <c r="P78" s="1331"/>
      <c r="Q78" s="1331"/>
      <c r="R78" s="1331"/>
    </row>
    <row r="79" spans="1:18">
      <c r="A79" s="1273"/>
      <c r="B79" s="1273"/>
      <c r="D79" s="1273"/>
      <c r="E79" s="1165"/>
      <c r="F79" s="1328"/>
      <c r="G79" s="1328"/>
      <c r="H79" s="1328"/>
      <c r="I79" s="1328"/>
      <c r="J79" s="1329"/>
      <c r="K79" s="1329"/>
      <c r="L79" s="1324"/>
      <c r="M79" s="1324"/>
      <c r="N79" s="1329"/>
      <c r="O79" s="1326"/>
      <c r="P79" s="1331"/>
      <c r="Q79" s="1331"/>
      <c r="R79" s="1331"/>
    </row>
    <row r="80" spans="1:18">
      <c r="F80" s="1332"/>
      <c r="G80" s="1332"/>
      <c r="H80" s="1332"/>
      <c r="I80" s="1332"/>
      <c r="J80" s="1332"/>
      <c r="K80" s="1332"/>
      <c r="L80" s="1332"/>
      <c r="M80" s="1332"/>
      <c r="N80" s="1332"/>
      <c r="O80" s="1332"/>
      <c r="P80" s="1332"/>
      <c r="Q80" s="1332"/>
      <c r="R80" s="1332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topLeftCell="A16" zoomScale="140" zoomScaleNormal="140" workbookViewId="0">
      <selection activeCell="I4" sqref="I4"/>
    </sheetView>
  </sheetViews>
  <sheetFormatPr defaultColWidth="9.140625" defaultRowHeight="12.75"/>
  <cols>
    <col min="1" max="1" width="5.140625" style="814" customWidth="1"/>
    <col min="2" max="2" width="7.7109375" style="814" customWidth="1"/>
    <col min="3" max="3" width="8.7109375" style="848" customWidth="1"/>
    <col min="4" max="4" width="9.7109375" style="848" customWidth="1"/>
    <col min="5" max="5" width="9.140625" style="848" customWidth="1"/>
    <col min="6" max="6" width="8.42578125" style="848" customWidth="1"/>
    <col min="7" max="7" width="10.140625" style="848" customWidth="1"/>
    <col min="8" max="8" width="9.140625" style="814"/>
    <col min="9" max="9" width="11.7109375" style="814" bestFit="1" customWidth="1"/>
    <col min="10" max="10" width="10.42578125" style="814" bestFit="1" customWidth="1"/>
    <col min="11" max="11" width="11.5703125" style="814" bestFit="1" customWidth="1"/>
    <col min="12" max="14" width="9.42578125" style="814" bestFit="1" customWidth="1"/>
    <col min="15" max="16384" width="9.140625" style="814"/>
  </cols>
  <sheetData>
    <row r="1" spans="1:21">
      <c r="A1" s="2502" t="s">
        <v>1631</v>
      </c>
      <c r="B1" s="2502"/>
      <c r="C1" s="2502"/>
      <c r="D1" s="2502"/>
      <c r="E1" s="2502"/>
      <c r="F1" s="2502"/>
      <c r="G1" s="2502"/>
      <c r="H1" s="2502"/>
      <c r="I1" s="847" t="s">
        <v>1632</v>
      </c>
    </row>
    <row r="2" spans="1:21">
      <c r="A2" s="8"/>
      <c r="B2" s="8"/>
      <c r="C2" s="28"/>
      <c r="D2" s="28"/>
      <c r="E2" s="28"/>
      <c r="F2" s="28"/>
      <c r="H2" s="28" t="s">
        <v>647</v>
      </c>
      <c r="I2" s="1" t="s">
        <v>1652</v>
      </c>
      <c r="J2" s="4"/>
    </row>
    <row r="3" spans="1:21" ht="33.75" customHeight="1">
      <c r="A3" s="2507" t="s">
        <v>21</v>
      </c>
      <c r="B3" s="2508"/>
      <c r="C3" s="1223" t="s">
        <v>1619</v>
      </c>
      <c r="D3" s="849" t="s">
        <v>1515</v>
      </c>
      <c r="E3" s="850" t="s">
        <v>2029</v>
      </c>
      <c r="F3" s="850" t="s">
        <v>2030</v>
      </c>
      <c r="G3" s="850" t="s">
        <v>1527</v>
      </c>
      <c r="H3" s="1427" t="s">
        <v>1603</v>
      </c>
      <c r="I3" s="850" t="s">
        <v>1528</v>
      </c>
    </row>
    <row r="4" spans="1:21" ht="12.75" customHeight="1">
      <c r="A4" s="2503" t="s">
        <v>2299</v>
      </c>
      <c r="B4" s="2503"/>
      <c r="C4" s="1060">
        <f>SUM(C5:C32)</f>
        <v>234119.76</v>
      </c>
      <c r="D4" s="1060">
        <f>SUM(D5:D32)</f>
        <v>1089478.04</v>
      </c>
      <c r="E4" s="1060">
        <f t="shared" ref="E4" si="0">SUM(E5:E32)</f>
        <v>64027.433000000005</v>
      </c>
      <c r="F4" s="1061">
        <f>SUM(F5:F32)</f>
        <v>111625.311468</v>
      </c>
      <c r="G4" s="1060">
        <f>SUM(G5:G32)</f>
        <v>4650.8899999999994</v>
      </c>
      <c r="H4" s="1060">
        <f>SUM(H5:H32)</f>
        <v>17112.781074000002</v>
      </c>
      <c r="I4" s="1062">
        <f>SUM(I5:I32)</f>
        <v>15.630768000000002</v>
      </c>
      <c r="J4" s="1426"/>
      <c r="K4" s="1426"/>
      <c r="L4" s="1426"/>
      <c r="M4" s="1426"/>
      <c r="N4" s="1426"/>
      <c r="O4" s="851"/>
      <c r="P4" s="851"/>
      <c r="Q4" s="851"/>
      <c r="R4" s="851"/>
      <c r="S4" s="851"/>
    </row>
    <row r="5" spans="1:21" ht="12.75" customHeight="1">
      <c r="A5" s="2504" t="s">
        <v>1244</v>
      </c>
      <c r="B5" s="852" t="s">
        <v>1516</v>
      </c>
      <c r="C5" s="1063">
        <v>141.09</v>
      </c>
      <c r="D5" s="1063">
        <v>162.52000000000001</v>
      </c>
      <c r="E5" s="1063">
        <v>26.832999999999998</v>
      </c>
      <c r="F5" s="1064">
        <v>6.4827589999999997</v>
      </c>
      <c r="G5" s="1065">
        <v>49.32</v>
      </c>
      <c r="H5" s="773">
        <v>0</v>
      </c>
      <c r="I5" s="773">
        <v>0</v>
      </c>
      <c r="O5" s="851"/>
      <c r="P5" s="851"/>
      <c r="Q5" s="851"/>
      <c r="R5" s="851"/>
      <c r="S5" s="851"/>
      <c r="T5" s="851"/>
      <c r="U5" s="851"/>
    </row>
    <row r="6" spans="1:21" ht="12.75" customHeight="1">
      <c r="A6" s="2505"/>
      <c r="B6" s="853" t="s">
        <v>1517</v>
      </c>
      <c r="C6" s="1066">
        <v>631.16999999999996</v>
      </c>
      <c r="D6" s="1066">
        <v>1107.47</v>
      </c>
      <c r="E6" s="1066">
        <v>23.18</v>
      </c>
      <c r="F6" s="1067">
        <v>439.89064500000001</v>
      </c>
      <c r="G6" s="1068">
        <v>25.53</v>
      </c>
      <c r="H6" s="774">
        <v>0</v>
      </c>
      <c r="I6" s="774">
        <v>0</v>
      </c>
      <c r="O6" s="851"/>
      <c r="P6" s="851"/>
      <c r="Q6" s="851"/>
      <c r="R6" s="851"/>
      <c r="S6" s="851"/>
    </row>
    <row r="7" spans="1:21" ht="12.75" customHeight="1">
      <c r="A7" s="2505"/>
      <c r="B7" s="854" t="s">
        <v>1518</v>
      </c>
      <c r="C7" s="1059">
        <v>58083.4</v>
      </c>
      <c r="D7" s="1059">
        <v>254074.2</v>
      </c>
      <c r="E7" s="1059">
        <v>12254.751</v>
      </c>
      <c r="F7" s="1059">
        <v>27888.328357999999</v>
      </c>
      <c r="G7" s="1064">
        <v>259.44</v>
      </c>
      <c r="H7" s="823">
        <v>2545.4900850000004</v>
      </c>
      <c r="I7" s="823">
        <v>0</v>
      </c>
      <c r="O7" s="851"/>
      <c r="P7" s="851"/>
      <c r="Q7" s="851"/>
      <c r="R7" s="851"/>
      <c r="S7" s="851"/>
    </row>
    <row r="8" spans="1:21" ht="12.75" customHeight="1">
      <c r="A8" s="2505"/>
      <c r="B8" s="853" t="s">
        <v>1519</v>
      </c>
      <c r="C8" s="1066">
        <v>56.23</v>
      </c>
      <c r="D8" s="1066">
        <v>89</v>
      </c>
      <c r="E8" s="1066">
        <v>71.741</v>
      </c>
      <c r="F8" s="1066">
        <v>106.11881099999999</v>
      </c>
      <c r="G8" s="1067">
        <v>624.62</v>
      </c>
      <c r="H8" s="774">
        <v>0</v>
      </c>
      <c r="I8" s="774">
        <v>0</v>
      </c>
      <c r="O8" s="851"/>
      <c r="P8" s="851"/>
      <c r="Q8" s="851"/>
      <c r="R8" s="851"/>
      <c r="S8" s="851"/>
    </row>
    <row r="9" spans="1:21" ht="12.75" customHeight="1">
      <c r="A9" s="2505"/>
      <c r="B9" s="854" t="s">
        <v>1520</v>
      </c>
      <c r="C9" s="1059">
        <v>1497.67</v>
      </c>
      <c r="D9" s="1059">
        <v>30.55</v>
      </c>
      <c r="E9" s="1059">
        <v>187.899</v>
      </c>
      <c r="F9" s="1059">
        <v>142.53434999999999</v>
      </c>
      <c r="G9" s="1069">
        <v>16.079999999999998</v>
      </c>
      <c r="H9" s="773">
        <v>15.168656</v>
      </c>
      <c r="I9" s="773">
        <v>0</v>
      </c>
      <c r="O9" s="851"/>
      <c r="P9" s="851"/>
      <c r="Q9" s="851"/>
      <c r="R9" s="851"/>
      <c r="S9" s="851"/>
    </row>
    <row r="10" spans="1:21" ht="12.75" customHeight="1">
      <c r="A10" s="2505"/>
      <c r="B10" s="853" t="s">
        <v>1521</v>
      </c>
      <c r="C10" s="1066">
        <v>1793.77</v>
      </c>
      <c r="D10" s="1066">
        <v>21393.89</v>
      </c>
      <c r="E10" s="1066">
        <v>76.87</v>
      </c>
      <c r="F10" s="1066">
        <v>820.59227699999997</v>
      </c>
      <c r="G10" s="1067">
        <v>13.27</v>
      </c>
      <c r="H10" s="774">
        <v>464.54009000000008</v>
      </c>
      <c r="I10" s="774">
        <v>0</v>
      </c>
      <c r="O10" s="851"/>
      <c r="P10" s="851"/>
      <c r="Q10" s="851"/>
      <c r="R10" s="851"/>
      <c r="S10" s="851"/>
    </row>
    <row r="11" spans="1:21" ht="12.75" customHeight="1">
      <c r="A11" s="2506"/>
      <c r="B11" s="854" t="s">
        <v>1522</v>
      </c>
      <c r="C11" s="1059">
        <v>1202.51</v>
      </c>
      <c r="D11" s="1059">
        <v>2822.05</v>
      </c>
      <c r="E11" s="1059">
        <v>2403.4290000000001</v>
      </c>
      <c r="F11" s="1059">
        <v>2647.757885</v>
      </c>
      <c r="G11" s="1069">
        <v>43.64</v>
      </c>
      <c r="H11" s="773">
        <v>-896.84678600000018</v>
      </c>
      <c r="I11" s="773">
        <v>0</v>
      </c>
      <c r="O11" s="851"/>
      <c r="P11" s="851"/>
      <c r="Q11" s="851"/>
      <c r="R11" s="851"/>
      <c r="S11" s="851"/>
    </row>
    <row r="12" spans="1:21" ht="12.75" customHeight="1">
      <c r="A12" s="2500" t="s">
        <v>1368</v>
      </c>
      <c r="B12" s="855" t="s">
        <v>1516</v>
      </c>
      <c r="C12" s="1066">
        <v>442.75</v>
      </c>
      <c r="D12" s="1066">
        <v>194.79</v>
      </c>
      <c r="E12" s="1066">
        <v>27.238</v>
      </c>
      <c r="F12" s="1066">
        <v>0.89262600000000003</v>
      </c>
      <c r="G12" s="1067">
        <v>9.82</v>
      </c>
      <c r="H12" s="774">
        <v>0</v>
      </c>
      <c r="I12" s="774">
        <v>0</v>
      </c>
      <c r="O12" s="851"/>
      <c r="P12" s="851"/>
      <c r="Q12" s="851"/>
      <c r="R12" s="851"/>
      <c r="S12" s="851"/>
    </row>
    <row r="13" spans="1:21" s="817" customFormat="1" ht="12.75" customHeight="1">
      <c r="A13" s="2500" t="s">
        <v>1368</v>
      </c>
      <c r="B13" s="856" t="s">
        <v>1517</v>
      </c>
      <c r="C13" s="1070">
        <v>658.58</v>
      </c>
      <c r="D13" s="1070">
        <v>1488.53</v>
      </c>
      <c r="E13" s="1070">
        <v>17.922000000000001</v>
      </c>
      <c r="F13" s="1070">
        <v>550.29546800000003</v>
      </c>
      <c r="G13" s="1071">
        <v>9.75</v>
      </c>
      <c r="H13" s="809">
        <v>0</v>
      </c>
      <c r="I13" s="809">
        <v>0</v>
      </c>
      <c r="O13" s="857"/>
      <c r="P13" s="857"/>
      <c r="Q13" s="857"/>
      <c r="R13" s="857"/>
      <c r="S13" s="857"/>
    </row>
    <row r="14" spans="1:21" ht="12.75" customHeight="1">
      <c r="A14" s="2500" t="s">
        <v>1368</v>
      </c>
      <c r="B14" s="855" t="s">
        <v>1518</v>
      </c>
      <c r="C14" s="1066">
        <v>51371.41</v>
      </c>
      <c r="D14" s="1066">
        <v>221341.95</v>
      </c>
      <c r="E14" s="1066">
        <v>13777.376</v>
      </c>
      <c r="F14" s="1066">
        <v>21255.968271999998</v>
      </c>
      <c r="G14" s="1067">
        <v>171.08</v>
      </c>
      <c r="H14" s="774">
        <v>3464.1689580000002</v>
      </c>
      <c r="I14" s="774">
        <v>0</v>
      </c>
      <c r="O14" s="851"/>
      <c r="P14" s="851"/>
      <c r="Q14" s="851"/>
      <c r="R14" s="851"/>
      <c r="S14" s="851"/>
    </row>
    <row r="15" spans="1:21" s="817" customFormat="1" ht="12.75" customHeight="1">
      <c r="A15" s="2500" t="s">
        <v>1368</v>
      </c>
      <c r="B15" s="856" t="s">
        <v>1519</v>
      </c>
      <c r="C15" s="1070">
        <v>110.23</v>
      </c>
      <c r="D15" s="1070">
        <v>116.37</v>
      </c>
      <c r="E15" s="1070">
        <v>29.437000000000001</v>
      </c>
      <c r="F15" s="1070">
        <v>121.494038</v>
      </c>
      <c r="G15" s="1071">
        <v>205.19</v>
      </c>
      <c r="H15" s="809">
        <v>0</v>
      </c>
      <c r="I15" s="809">
        <v>0</v>
      </c>
      <c r="O15" s="857"/>
      <c r="P15" s="857"/>
      <c r="Q15" s="857"/>
      <c r="R15" s="857"/>
      <c r="S15" s="857"/>
    </row>
    <row r="16" spans="1:21" ht="12.75" customHeight="1">
      <c r="A16" s="2500" t="s">
        <v>1368</v>
      </c>
      <c r="B16" s="855" t="s">
        <v>1520</v>
      </c>
      <c r="C16" s="1066">
        <v>1139.3699999999999</v>
      </c>
      <c r="D16" s="1066">
        <v>119.93</v>
      </c>
      <c r="E16" s="1066">
        <v>179.33</v>
      </c>
      <c r="F16" s="1066">
        <v>215.08420899999999</v>
      </c>
      <c r="G16" s="1067">
        <v>10.74</v>
      </c>
      <c r="H16" s="774">
        <v>5.8615380000000004</v>
      </c>
      <c r="I16" s="774">
        <v>0</v>
      </c>
      <c r="O16" s="851"/>
      <c r="P16" s="851"/>
      <c r="Q16" s="851"/>
      <c r="R16" s="851"/>
      <c r="S16" s="851"/>
    </row>
    <row r="17" spans="1:19" s="817" customFormat="1" ht="12.75" customHeight="1">
      <c r="A17" s="2500" t="s">
        <v>1368</v>
      </c>
      <c r="B17" s="856" t="s">
        <v>1521</v>
      </c>
      <c r="C17" s="1070">
        <v>2184.16</v>
      </c>
      <c r="D17" s="1070">
        <v>18733.57</v>
      </c>
      <c r="E17" s="1070">
        <v>86.325999999999993</v>
      </c>
      <c r="F17" s="1070">
        <v>682.33152099999995</v>
      </c>
      <c r="G17" s="1071">
        <v>8.76</v>
      </c>
      <c r="H17" s="809">
        <v>537.30764999999997</v>
      </c>
      <c r="I17" s="809">
        <v>15.630768000000002</v>
      </c>
      <c r="O17" s="857"/>
      <c r="P17" s="857"/>
      <c r="Q17" s="857"/>
      <c r="R17" s="857"/>
      <c r="S17" s="857"/>
    </row>
    <row r="18" spans="1:19" ht="12.75" customHeight="1">
      <c r="A18" s="2500" t="s">
        <v>1368</v>
      </c>
      <c r="B18" s="855" t="s">
        <v>1522</v>
      </c>
      <c r="C18" s="1066">
        <v>1709.94</v>
      </c>
      <c r="D18" s="1066">
        <v>2186.34</v>
      </c>
      <c r="E18" s="1066">
        <v>1908.7919999999999</v>
      </c>
      <c r="F18" s="1066">
        <v>1615.115556</v>
      </c>
      <c r="G18" s="1067">
        <v>26.42</v>
      </c>
      <c r="H18" s="774">
        <v>1889.3690819999999</v>
      </c>
      <c r="I18" s="774">
        <v>0</v>
      </c>
      <c r="O18" s="851"/>
      <c r="P18" s="851"/>
      <c r="Q18" s="851"/>
      <c r="R18" s="851"/>
      <c r="S18" s="851"/>
    </row>
    <row r="19" spans="1:19" s="817" customFormat="1" ht="12.75" customHeight="1">
      <c r="A19" s="2500" t="s">
        <v>1242</v>
      </c>
      <c r="B19" s="856" t="s">
        <v>1516</v>
      </c>
      <c r="C19" s="1070">
        <v>291.99</v>
      </c>
      <c r="D19" s="1070">
        <v>522.82000000000005</v>
      </c>
      <c r="E19" s="1070">
        <v>2.383</v>
      </c>
      <c r="F19" s="1070">
        <v>2.0644779999999998</v>
      </c>
      <c r="G19" s="1071">
        <v>332.72</v>
      </c>
      <c r="H19" s="809">
        <v>0</v>
      </c>
      <c r="I19" s="809">
        <v>0</v>
      </c>
      <c r="O19" s="857"/>
      <c r="P19" s="857"/>
      <c r="Q19" s="857"/>
      <c r="R19" s="857"/>
      <c r="S19" s="857"/>
    </row>
    <row r="20" spans="1:19" ht="12.75" customHeight="1">
      <c r="A20" s="2500" t="s">
        <v>1242</v>
      </c>
      <c r="B20" s="855" t="s">
        <v>1517</v>
      </c>
      <c r="C20" s="1066">
        <v>498.55</v>
      </c>
      <c r="D20" s="1066">
        <v>1984.67</v>
      </c>
      <c r="E20" s="1066">
        <v>35.975000000000001</v>
      </c>
      <c r="F20" s="1066">
        <v>647.71292500000004</v>
      </c>
      <c r="G20" s="1067">
        <v>12.15</v>
      </c>
      <c r="H20" s="774">
        <v>0</v>
      </c>
      <c r="I20" s="774">
        <v>0</v>
      </c>
      <c r="O20" s="851"/>
      <c r="P20" s="851"/>
      <c r="Q20" s="851"/>
      <c r="R20" s="851"/>
      <c r="S20" s="851"/>
    </row>
    <row r="21" spans="1:19" s="817" customFormat="1" ht="12.75" customHeight="1">
      <c r="A21" s="2500" t="s">
        <v>1242</v>
      </c>
      <c r="B21" s="856" t="s">
        <v>1518</v>
      </c>
      <c r="C21" s="1070">
        <v>56243.34</v>
      </c>
      <c r="D21" s="1070">
        <v>266528.31</v>
      </c>
      <c r="E21" s="1070">
        <v>14182.485000000001</v>
      </c>
      <c r="F21" s="1070">
        <v>24194.143076</v>
      </c>
      <c r="G21" s="1071">
        <v>354.7</v>
      </c>
      <c r="H21" s="809">
        <v>3098.7321299999999</v>
      </c>
      <c r="I21" s="809">
        <v>0</v>
      </c>
      <c r="O21" s="857"/>
      <c r="P21" s="857"/>
      <c r="Q21" s="857"/>
      <c r="R21" s="857"/>
      <c r="S21" s="857"/>
    </row>
    <row r="22" spans="1:19" ht="12.75" customHeight="1">
      <c r="A22" s="2500" t="s">
        <v>1242</v>
      </c>
      <c r="B22" s="855" t="s">
        <v>1519</v>
      </c>
      <c r="C22" s="1066">
        <v>120.48</v>
      </c>
      <c r="D22" s="1066">
        <v>131.76</v>
      </c>
      <c r="E22" s="1066">
        <v>27.827999999999999</v>
      </c>
      <c r="F22" s="1066">
        <v>127.26231900000001</v>
      </c>
      <c r="G22" s="1067">
        <v>363.41</v>
      </c>
      <c r="H22" s="774">
        <v>0</v>
      </c>
      <c r="I22" s="774">
        <v>0</v>
      </c>
      <c r="O22" s="851"/>
      <c r="P22" s="851"/>
      <c r="Q22" s="851"/>
      <c r="R22" s="851"/>
      <c r="S22" s="851"/>
    </row>
    <row r="23" spans="1:19" s="817" customFormat="1" ht="12.75" customHeight="1">
      <c r="A23" s="2500" t="s">
        <v>1242</v>
      </c>
      <c r="B23" s="856" t="s">
        <v>1520</v>
      </c>
      <c r="C23" s="1070">
        <v>883.5</v>
      </c>
      <c r="D23" s="1070">
        <v>122.3</v>
      </c>
      <c r="E23" s="1070">
        <v>203.24600000000001</v>
      </c>
      <c r="F23" s="1070">
        <v>213.658784</v>
      </c>
      <c r="G23" s="1071">
        <v>15.11</v>
      </c>
      <c r="H23" s="809">
        <v>-3.0280770000000001</v>
      </c>
      <c r="I23" s="809">
        <v>0</v>
      </c>
      <c r="O23" s="857"/>
      <c r="P23" s="857"/>
      <c r="Q23" s="857"/>
      <c r="R23" s="857"/>
      <c r="S23" s="857"/>
    </row>
    <row r="24" spans="1:19" ht="12.75" customHeight="1">
      <c r="A24" s="2500" t="s">
        <v>1242</v>
      </c>
      <c r="B24" s="855" t="s">
        <v>1521</v>
      </c>
      <c r="C24" s="1066">
        <v>2011.02</v>
      </c>
      <c r="D24" s="1066">
        <v>16733.939999999999</v>
      </c>
      <c r="E24" s="1066">
        <v>79.353999999999999</v>
      </c>
      <c r="F24" s="1066">
        <v>585.94272999999998</v>
      </c>
      <c r="G24" s="1067">
        <v>18.2</v>
      </c>
      <c r="H24" s="774">
        <v>519.819885</v>
      </c>
      <c r="I24" s="774">
        <v>0</v>
      </c>
      <c r="O24" s="851"/>
      <c r="P24" s="851"/>
      <c r="Q24" s="851"/>
      <c r="R24" s="851"/>
      <c r="S24" s="851"/>
    </row>
    <row r="25" spans="1:19" s="817" customFormat="1" ht="12.75" customHeight="1">
      <c r="A25" s="2500" t="s">
        <v>1242</v>
      </c>
      <c r="B25" s="856" t="s">
        <v>1522</v>
      </c>
      <c r="C25" s="1070">
        <v>1808.12</v>
      </c>
      <c r="D25" s="1070">
        <v>2262.6999999999998</v>
      </c>
      <c r="E25" s="1070">
        <v>1590.4690000000001</v>
      </c>
      <c r="F25" s="1070">
        <v>1538.3974000000001</v>
      </c>
      <c r="G25" s="1071">
        <v>48.48</v>
      </c>
      <c r="H25" s="809">
        <v>1219.305672</v>
      </c>
      <c r="I25" s="809">
        <v>0</v>
      </c>
      <c r="O25" s="857"/>
      <c r="P25" s="857"/>
      <c r="Q25" s="857"/>
      <c r="R25" s="857"/>
      <c r="S25" s="857"/>
    </row>
    <row r="26" spans="1:19" ht="12.75" customHeight="1">
      <c r="A26" s="2500" t="s">
        <v>1243</v>
      </c>
      <c r="B26" s="855" t="s">
        <v>1516</v>
      </c>
      <c r="C26" s="1066">
        <v>250.12</v>
      </c>
      <c r="D26" s="1066">
        <v>697.81</v>
      </c>
      <c r="E26" s="1066">
        <v>1.516</v>
      </c>
      <c r="F26" s="1066">
        <v>3.3808029999999998</v>
      </c>
      <c r="G26" s="1067">
        <v>13.62</v>
      </c>
      <c r="H26" s="774">
        <v>0</v>
      </c>
      <c r="I26" s="774">
        <v>0</v>
      </c>
      <c r="O26" s="851"/>
      <c r="P26" s="851"/>
      <c r="Q26" s="851"/>
      <c r="R26" s="851"/>
      <c r="S26" s="851"/>
    </row>
    <row r="27" spans="1:19" s="817" customFormat="1" ht="12.75" customHeight="1">
      <c r="A27" s="2500" t="s">
        <v>1523</v>
      </c>
      <c r="B27" s="856" t="s">
        <v>1517</v>
      </c>
      <c r="C27" s="1070">
        <v>394.1</v>
      </c>
      <c r="D27" s="1070">
        <v>1404.64</v>
      </c>
      <c r="E27" s="1070">
        <v>28.128</v>
      </c>
      <c r="F27" s="1070">
        <v>572.340103</v>
      </c>
      <c r="G27" s="1071">
        <v>26.23</v>
      </c>
      <c r="H27" s="809">
        <v>0</v>
      </c>
      <c r="I27" s="809">
        <v>0</v>
      </c>
      <c r="O27" s="857"/>
      <c r="P27" s="857"/>
      <c r="Q27" s="857"/>
      <c r="R27" s="857"/>
      <c r="S27" s="857"/>
    </row>
    <row r="28" spans="1:19" ht="12.75" customHeight="1">
      <c r="A28" s="2500" t="s">
        <v>1523</v>
      </c>
      <c r="B28" s="855" t="s">
        <v>1518</v>
      </c>
      <c r="C28" s="1066">
        <v>45291.519999999997</v>
      </c>
      <c r="D28" s="1066">
        <v>254346.39</v>
      </c>
      <c r="E28" s="1066">
        <v>14767.982</v>
      </c>
      <c r="F28" s="1066">
        <v>24140.255107000001</v>
      </c>
      <c r="G28" s="1067">
        <v>304.24</v>
      </c>
      <c r="H28" s="774">
        <v>2805.6767290000003</v>
      </c>
      <c r="I28" s="774">
        <v>0</v>
      </c>
      <c r="O28" s="851"/>
      <c r="P28" s="851"/>
      <c r="Q28" s="851"/>
      <c r="R28" s="851"/>
      <c r="S28" s="851"/>
    </row>
    <row r="29" spans="1:19" s="817" customFormat="1" ht="12.75" customHeight="1">
      <c r="A29" s="2500" t="s">
        <v>1523</v>
      </c>
      <c r="B29" s="856" t="s">
        <v>1519</v>
      </c>
      <c r="C29" s="1070">
        <v>98.49</v>
      </c>
      <c r="D29" s="1070">
        <v>132.01</v>
      </c>
      <c r="E29" s="1070">
        <v>124.63800000000001</v>
      </c>
      <c r="F29" s="1070">
        <v>88.15607</v>
      </c>
      <c r="G29" s="1071">
        <v>1619.45</v>
      </c>
      <c r="H29" s="809">
        <v>0</v>
      </c>
      <c r="I29" s="809">
        <v>0</v>
      </c>
      <c r="O29" s="857"/>
      <c r="P29" s="857"/>
      <c r="Q29" s="857"/>
      <c r="R29" s="857"/>
      <c r="S29" s="857"/>
    </row>
    <row r="30" spans="1:19" ht="12.75" customHeight="1">
      <c r="A30" s="2500" t="s">
        <v>1523</v>
      </c>
      <c r="B30" s="855" t="s">
        <v>1520</v>
      </c>
      <c r="C30" s="1066">
        <v>848.24</v>
      </c>
      <c r="D30" s="1066">
        <v>118.49</v>
      </c>
      <c r="E30" s="1066">
        <v>332.75</v>
      </c>
      <c r="F30" s="1066">
        <v>331.73134299999998</v>
      </c>
      <c r="G30" s="1067">
        <v>29.32</v>
      </c>
      <c r="H30" s="774">
        <v>11.485837</v>
      </c>
      <c r="I30" s="774">
        <v>0</v>
      </c>
      <c r="O30" s="851"/>
      <c r="P30" s="851"/>
      <c r="Q30" s="851"/>
      <c r="R30" s="851"/>
      <c r="S30" s="851"/>
    </row>
    <row r="31" spans="1:19" s="817" customFormat="1" ht="12.75" customHeight="1">
      <c r="A31" s="2500" t="s">
        <v>1523</v>
      </c>
      <c r="B31" s="856" t="s">
        <v>1521</v>
      </c>
      <c r="C31" s="1070">
        <v>2376.98</v>
      </c>
      <c r="D31" s="1070">
        <v>18003.12</v>
      </c>
      <c r="E31" s="1070">
        <v>49.561</v>
      </c>
      <c r="F31" s="1070">
        <v>633.985321</v>
      </c>
      <c r="G31" s="1071">
        <v>20.84</v>
      </c>
      <c r="H31" s="809">
        <v>44.899180999999999</v>
      </c>
      <c r="I31" s="809">
        <v>0</v>
      </c>
      <c r="L31" s="1078"/>
      <c r="N31" s="1079"/>
      <c r="O31" s="857"/>
      <c r="P31" s="857"/>
      <c r="Q31" s="857"/>
      <c r="R31" s="857"/>
      <c r="S31" s="857"/>
    </row>
    <row r="32" spans="1:19" ht="12.75" customHeight="1">
      <c r="A32" s="2501" t="s">
        <v>1523</v>
      </c>
      <c r="B32" s="858" t="s">
        <v>1522</v>
      </c>
      <c r="C32" s="1072">
        <v>1981.03</v>
      </c>
      <c r="D32" s="1072">
        <v>2627.92</v>
      </c>
      <c r="E32" s="1073">
        <v>1529.9939999999999</v>
      </c>
      <c r="F32" s="1073">
        <v>2053.3942339999999</v>
      </c>
      <c r="G32" s="1074">
        <v>18.760000000000002</v>
      </c>
      <c r="H32" s="774">
        <v>1390.8304440000002</v>
      </c>
      <c r="I32" s="774">
        <v>0</v>
      </c>
      <c r="O32" s="851"/>
      <c r="P32" s="851"/>
      <c r="Q32" s="851"/>
      <c r="R32" s="851"/>
      <c r="S32" s="851"/>
    </row>
    <row r="33" spans="1:10">
      <c r="A33" s="8"/>
      <c r="B33" s="8"/>
      <c r="C33" s="760"/>
      <c r="D33" s="760"/>
      <c r="E33" s="760"/>
      <c r="F33" s="760"/>
      <c r="G33" s="760"/>
      <c r="H33" s="1"/>
      <c r="I33" s="4"/>
    </row>
    <row r="34" spans="1:10">
      <c r="A34" s="1" t="s">
        <v>1182</v>
      </c>
      <c r="B34" s="8" t="s">
        <v>1524</v>
      </c>
      <c r="C34" s="760"/>
      <c r="D34" s="760"/>
      <c r="G34" s="28" t="s">
        <v>1525</v>
      </c>
      <c r="H34" s="1"/>
      <c r="I34" s="4"/>
    </row>
    <row r="35" spans="1:10" ht="12.75" customHeight="1">
      <c r="A35" s="1080"/>
      <c r="B35" s="1081" t="s">
        <v>2032</v>
      </c>
      <c r="C35" s="1081"/>
      <c r="D35" s="1081"/>
      <c r="E35" s="1081"/>
      <c r="F35" s="1081"/>
      <c r="G35" s="1081"/>
      <c r="H35" s="57"/>
      <c r="I35" s="57"/>
      <c r="J35" s="57"/>
    </row>
    <row r="36" spans="1:10">
      <c r="A36" s="1"/>
      <c r="B36" s="8" t="s">
        <v>2031</v>
      </c>
      <c r="C36" s="760"/>
      <c r="D36" s="760"/>
      <c r="G36" s="28"/>
      <c r="H36" s="1"/>
      <c r="I36" s="4"/>
    </row>
    <row r="37" spans="1:10" ht="13.5" customHeight="1">
      <c r="A37" s="859" t="s">
        <v>266</v>
      </c>
      <c r="B37" s="1221" t="s">
        <v>1526</v>
      </c>
      <c r="C37" s="1222"/>
      <c r="D37" s="1222"/>
      <c r="E37" s="1222"/>
      <c r="F37" s="1222"/>
      <c r="G37" s="1222"/>
      <c r="H37" s="865"/>
      <c r="I37" s="4"/>
    </row>
    <row r="38" spans="1:10">
      <c r="A38" s="8"/>
      <c r="B38" s="274" t="s">
        <v>1972</v>
      </c>
      <c r="C38" s="28"/>
      <c r="D38" s="28"/>
      <c r="E38" s="28"/>
      <c r="F38" s="28"/>
      <c r="G38" s="28"/>
      <c r="H38" s="866"/>
      <c r="I38" s="867"/>
    </row>
    <row r="39" spans="1:10">
      <c r="B39" s="1224" t="s">
        <v>1971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31" zoomScale="140" zoomScaleNormal="140" workbookViewId="0">
      <selection activeCell="J57" sqref="J57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11" t="s">
        <v>1630</v>
      </c>
      <c r="B1" s="2511"/>
      <c r="C1" s="2511"/>
      <c r="D1" s="2511"/>
      <c r="E1" s="2511"/>
      <c r="F1" s="2511"/>
      <c r="G1" s="2511"/>
      <c r="H1" s="770"/>
      <c r="I1" s="952" t="s">
        <v>1629</v>
      </c>
    </row>
    <row r="2" spans="1:21" ht="12.75" customHeight="1">
      <c r="A2" s="761"/>
      <c r="B2" s="761"/>
      <c r="C2" s="762"/>
      <c r="D2" s="762"/>
      <c r="E2" s="762"/>
      <c r="F2" s="762"/>
      <c r="G2" s="2512" t="s">
        <v>1655</v>
      </c>
      <c r="H2" s="2512"/>
      <c r="I2" s="2512"/>
    </row>
    <row r="3" spans="1:21" ht="32.25" customHeight="1">
      <c r="A3" s="2514" t="s">
        <v>498</v>
      </c>
      <c r="B3" s="2515"/>
      <c r="C3" s="764" t="s">
        <v>1529</v>
      </c>
      <c r="D3" s="764" t="s">
        <v>1530</v>
      </c>
      <c r="E3" s="764" t="s">
        <v>1531</v>
      </c>
      <c r="F3" s="764" t="s">
        <v>2026</v>
      </c>
      <c r="G3" s="771" t="s">
        <v>1532</v>
      </c>
      <c r="H3" s="771" t="s">
        <v>1533</v>
      </c>
      <c r="I3" s="771" t="s">
        <v>1534</v>
      </c>
    </row>
    <row r="4" spans="1:21" ht="12.75" customHeight="1">
      <c r="A4" s="1082" t="s">
        <v>2018</v>
      </c>
      <c r="B4" s="1082"/>
      <c r="C4" s="763"/>
      <c r="D4" s="763"/>
      <c r="E4" s="763"/>
      <c r="F4" s="763"/>
      <c r="G4" s="2513"/>
      <c r="H4" s="2513"/>
      <c r="I4" s="763"/>
    </row>
    <row r="5" spans="1:21" ht="10.35" customHeight="1">
      <c r="A5" s="2510" t="s">
        <v>1244</v>
      </c>
      <c r="B5" s="765" t="s">
        <v>1535</v>
      </c>
      <c r="C5" s="768" t="s">
        <v>298</v>
      </c>
      <c r="D5" s="768" t="s">
        <v>298</v>
      </c>
      <c r="E5" s="768" t="s">
        <v>298</v>
      </c>
      <c r="F5" s="768" t="s">
        <v>298</v>
      </c>
      <c r="G5" s="772" t="s">
        <v>298</v>
      </c>
      <c r="H5" s="772" t="s">
        <v>298</v>
      </c>
      <c r="I5" s="772" t="s">
        <v>298</v>
      </c>
      <c r="L5" s="632"/>
      <c r="N5" s="632"/>
      <c r="O5" s="632"/>
      <c r="P5" s="632"/>
      <c r="Q5" s="632"/>
      <c r="R5" s="632"/>
      <c r="S5" s="632"/>
      <c r="T5" s="632"/>
      <c r="U5" s="632"/>
    </row>
    <row r="6" spans="1:21" ht="10.35" customHeight="1">
      <c r="A6" s="2510"/>
      <c r="B6" s="766" t="s">
        <v>1536</v>
      </c>
      <c r="C6" s="767">
        <v>11022</v>
      </c>
      <c r="D6" s="767">
        <v>16351.3</v>
      </c>
      <c r="E6" s="767">
        <v>129174.92948538013</v>
      </c>
      <c r="F6" s="767">
        <v>671.5</v>
      </c>
      <c r="G6" s="776">
        <v>46199.8</v>
      </c>
      <c r="H6" s="767">
        <v>5.52</v>
      </c>
      <c r="I6" s="767">
        <v>85.004221000000001</v>
      </c>
      <c r="L6" s="632"/>
      <c r="N6" s="632"/>
      <c r="O6" s="632"/>
      <c r="P6" s="632"/>
      <c r="Q6" s="632"/>
      <c r="R6" s="632"/>
      <c r="S6" s="632"/>
      <c r="T6" s="632"/>
      <c r="U6" s="632"/>
    </row>
    <row r="7" spans="1:21" ht="10.35" customHeight="1">
      <c r="A7" s="2510"/>
      <c r="B7" s="765" t="s">
        <v>1517</v>
      </c>
      <c r="C7" s="768">
        <v>269.54196286652802</v>
      </c>
      <c r="D7" s="768">
        <v>319.318330239131</v>
      </c>
      <c r="E7" s="768">
        <v>2129.8143048055899</v>
      </c>
      <c r="F7" s="768">
        <v>0.02</v>
      </c>
      <c r="G7" s="768">
        <v>1296.7866705890301</v>
      </c>
      <c r="H7" s="768">
        <v>4.9707565320558302</v>
      </c>
      <c r="I7" s="768">
        <v>74.117643034055703</v>
      </c>
      <c r="L7" s="632"/>
      <c r="N7" s="632"/>
      <c r="O7" s="632"/>
      <c r="P7" s="632"/>
      <c r="Q7" s="632"/>
      <c r="R7" s="632"/>
      <c r="S7" s="632"/>
      <c r="T7" s="632"/>
      <c r="U7" s="632"/>
    </row>
    <row r="8" spans="1:21" ht="10.35" customHeight="1">
      <c r="A8" s="2510"/>
      <c r="B8" s="766" t="s">
        <v>1518</v>
      </c>
      <c r="C8" s="767">
        <v>102719.68796516581</v>
      </c>
      <c r="D8" s="767">
        <v>147455.649471262</v>
      </c>
      <c r="E8" s="767">
        <v>1475564.2211780699</v>
      </c>
      <c r="F8" s="767">
        <v>8697.2643559999997</v>
      </c>
      <c r="G8" s="767">
        <v>635362.77</v>
      </c>
      <c r="H8" s="767">
        <v>5.0752688170000004</v>
      </c>
      <c r="I8" s="767">
        <v>74.090156451612899</v>
      </c>
      <c r="L8" s="632"/>
      <c r="N8" s="632"/>
      <c r="O8" s="632"/>
      <c r="P8" s="632"/>
      <c r="Q8" s="632"/>
      <c r="R8" s="632"/>
      <c r="S8" s="632"/>
      <c r="T8" s="632"/>
      <c r="U8" s="632"/>
    </row>
    <row r="9" spans="1:21" ht="10.35" customHeight="1">
      <c r="A9" s="2510"/>
      <c r="B9" s="765" t="s">
        <v>1519</v>
      </c>
      <c r="C9" s="768">
        <v>63.01</v>
      </c>
      <c r="D9" s="768">
        <v>616.85</v>
      </c>
      <c r="E9" s="768">
        <v>205.05</v>
      </c>
      <c r="F9" s="768" t="s">
        <v>298</v>
      </c>
      <c r="G9" s="768">
        <v>1016.75</v>
      </c>
      <c r="H9" s="768">
        <v>0.23</v>
      </c>
      <c r="I9" s="768">
        <v>15.41</v>
      </c>
      <c r="L9" s="632"/>
      <c r="N9" s="632"/>
      <c r="O9" s="632"/>
      <c r="P9" s="632"/>
      <c r="Q9" s="632"/>
      <c r="R9" s="632"/>
      <c r="S9" s="632"/>
      <c r="T9" s="632"/>
      <c r="U9" s="632"/>
    </row>
    <row r="10" spans="1:21" ht="10.35" customHeight="1">
      <c r="A10" s="2510"/>
      <c r="B10" s="766" t="s">
        <v>1520</v>
      </c>
      <c r="C10" s="767">
        <v>548.53939400000002</v>
      </c>
      <c r="D10" s="767">
        <v>4034.4954950000001</v>
      </c>
      <c r="E10" s="767">
        <v>6832.7091540000001</v>
      </c>
      <c r="F10" s="767" t="s">
        <v>298</v>
      </c>
      <c r="G10" s="767">
        <v>9768.5806730000004</v>
      </c>
      <c r="H10" s="767" t="s">
        <v>298</v>
      </c>
      <c r="I10" s="767">
        <v>117.59</v>
      </c>
      <c r="L10" s="632"/>
      <c r="N10" s="632"/>
      <c r="O10" s="632"/>
      <c r="P10" s="632"/>
      <c r="Q10" s="632"/>
      <c r="R10" s="632"/>
      <c r="S10" s="632"/>
      <c r="T10" s="632"/>
      <c r="U10" s="632"/>
    </row>
    <row r="11" spans="1:21" ht="10.35" customHeight="1">
      <c r="A11" s="2510"/>
      <c r="B11" s="765" t="s">
        <v>1521</v>
      </c>
      <c r="C11" s="768" t="s">
        <v>298</v>
      </c>
      <c r="D11" s="768" t="s">
        <v>298</v>
      </c>
      <c r="E11" s="768" t="s">
        <v>298</v>
      </c>
      <c r="F11" s="768" t="s">
        <v>298</v>
      </c>
      <c r="G11" s="768" t="s">
        <v>298</v>
      </c>
      <c r="H11" s="768" t="s">
        <v>298</v>
      </c>
      <c r="I11" s="768" t="s">
        <v>298</v>
      </c>
      <c r="L11" s="632"/>
      <c r="N11" s="632"/>
      <c r="O11" s="632"/>
      <c r="P11" s="632"/>
      <c r="Q11" s="632"/>
      <c r="R11" s="632"/>
      <c r="S11" s="632"/>
      <c r="T11" s="632"/>
      <c r="U11" s="632"/>
    </row>
    <row r="12" spans="1:21" ht="10.35" customHeight="1">
      <c r="A12" s="2510"/>
      <c r="B12" s="1051" t="s">
        <v>1522</v>
      </c>
      <c r="C12" s="1052" t="s">
        <v>298</v>
      </c>
      <c r="D12" s="1052" t="s">
        <v>298</v>
      </c>
      <c r="E12" s="1052" t="s">
        <v>298</v>
      </c>
      <c r="F12" s="1052" t="s">
        <v>298</v>
      </c>
      <c r="G12" s="1052" t="s">
        <v>298</v>
      </c>
      <c r="H12" s="1052" t="s">
        <v>298</v>
      </c>
      <c r="I12" s="1052" t="s">
        <v>298</v>
      </c>
      <c r="L12" s="632"/>
      <c r="N12" s="632"/>
      <c r="O12" s="632"/>
      <c r="P12" s="632"/>
      <c r="Q12" s="632"/>
      <c r="R12" s="632"/>
      <c r="S12" s="632"/>
      <c r="T12" s="632"/>
      <c r="U12" s="632"/>
    </row>
    <row r="13" spans="1:21" ht="10.35" customHeight="1">
      <c r="A13" s="2509" t="s">
        <v>1368</v>
      </c>
      <c r="B13" s="765" t="s">
        <v>1535</v>
      </c>
      <c r="C13" s="768" t="s">
        <v>298</v>
      </c>
      <c r="D13" s="768" t="s">
        <v>298</v>
      </c>
      <c r="E13" s="768" t="s">
        <v>298</v>
      </c>
      <c r="F13" s="768" t="s">
        <v>298</v>
      </c>
      <c r="G13" s="768" t="s">
        <v>298</v>
      </c>
      <c r="H13" s="768" t="s">
        <v>298</v>
      </c>
      <c r="I13" s="768" t="s">
        <v>298</v>
      </c>
      <c r="L13" s="632"/>
      <c r="N13" s="632"/>
      <c r="O13" s="632"/>
      <c r="P13" s="632"/>
      <c r="Q13" s="632"/>
      <c r="R13" s="632"/>
      <c r="S13" s="632"/>
      <c r="T13" s="632"/>
      <c r="U13" s="632"/>
    </row>
    <row r="14" spans="1:21" ht="10.35" customHeight="1">
      <c r="A14" s="2510"/>
      <c r="B14" s="766" t="s">
        <v>1536</v>
      </c>
      <c r="C14" s="767">
        <v>13676.6</v>
      </c>
      <c r="D14" s="767">
        <v>20690</v>
      </c>
      <c r="E14" s="767">
        <v>134467.74379336645</v>
      </c>
      <c r="F14" s="767">
        <v>1092.17</v>
      </c>
      <c r="G14" s="776">
        <v>46153.9</v>
      </c>
      <c r="H14" s="767">
        <v>5.49</v>
      </c>
      <c r="I14" s="767">
        <v>85.729936708860706</v>
      </c>
      <c r="L14" s="632"/>
      <c r="N14" s="632"/>
      <c r="O14" s="632"/>
      <c r="P14" s="632"/>
      <c r="Q14" s="632"/>
      <c r="R14" s="632"/>
      <c r="S14" s="632"/>
      <c r="T14" s="632"/>
      <c r="U14" s="632"/>
    </row>
    <row r="15" spans="1:21" ht="10.35" customHeight="1">
      <c r="A15" s="2510"/>
      <c r="B15" s="765" t="s">
        <v>1517</v>
      </c>
      <c r="C15" s="768">
        <v>192.90185856036001</v>
      </c>
      <c r="D15" s="768">
        <v>340.27337576626297</v>
      </c>
      <c r="E15" s="768">
        <v>2114.7479595678601</v>
      </c>
      <c r="F15" s="768">
        <v>1.9771225385058301E-2</v>
      </c>
      <c r="G15" s="768">
        <v>975.24754940315302</v>
      </c>
      <c r="H15" s="768">
        <v>6.8675233383951104</v>
      </c>
      <c r="I15" s="768">
        <v>74.975264901960799</v>
      </c>
      <c r="L15" s="632"/>
      <c r="N15" s="632"/>
      <c r="O15" s="632"/>
      <c r="P15" s="632"/>
      <c r="Q15" s="632"/>
      <c r="R15" s="632"/>
      <c r="S15" s="632"/>
      <c r="T15" s="632"/>
      <c r="U15" s="632"/>
    </row>
    <row r="16" spans="1:21" ht="10.35" customHeight="1">
      <c r="A16" s="2510"/>
      <c r="B16" s="766" t="s">
        <v>1518</v>
      </c>
      <c r="C16" s="767">
        <v>106795.09837421859</v>
      </c>
      <c r="D16" s="767">
        <v>166971.3563209069</v>
      </c>
      <c r="E16" s="767">
        <v>1558774.89309243</v>
      </c>
      <c r="F16" s="767">
        <v>4558.644663</v>
      </c>
      <c r="G16" s="767">
        <v>633614.31000000006</v>
      </c>
      <c r="H16" s="767">
        <v>5.0147492629999997</v>
      </c>
      <c r="I16" s="767">
        <v>74.957247540983602</v>
      </c>
      <c r="L16" s="632"/>
      <c r="N16" s="632"/>
      <c r="O16" s="632"/>
      <c r="P16" s="632"/>
      <c r="Q16" s="632"/>
      <c r="R16" s="632"/>
      <c r="S16" s="632"/>
      <c r="T16" s="632"/>
      <c r="U16" s="632"/>
    </row>
    <row r="17" spans="1:21" ht="10.35" customHeight="1">
      <c r="A17" s="2510"/>
      <c r="B17" s="765" t="s">
        <v>1519</v>
      </c>
      <c r="C17" s="768">
        <v>85.77</v>
      </c>
      <c r="D17" s="768">
        <v>800.83</v>
      </c>
      <c r="E17" s="768">
        <v>199.62</v>
      </c>
      <c r="F17" s="768" t="s">
        <v>298</v>
      </c>
      <c r="G17" s="768">
        <v>805.81</v>
      </c>
      <c r="H17" s="768">
        <v>0.54</v>
      </c>
      <c r="I17" s="768">
        <v>15.4</v>
      </c>
      <c r="L17" s="632"/>
      <c r="N17" s="632"/>
      <c r="O17" s="632"/>
      <c r="P17" s="632"/>
      <c r="Q17" s="632"/>
      <c r="R17" s="632"/>
      <c r="S17" s="632"/>
      <c r="T17" s="632"/>
      <c r="U17" s="632"/>
    </row>
    <row r="18" spans="1:21" ht="10.35" customHeight="1">
      <c r="A18" s="2510"/>
      <c r="B18" s="766" t="s">
        <v>1520</v>
      </c>
      <c r="C18" s="767">
        <v>449.12096700000001</v>
      </c>
      <c r="D18" s="767">
        <v>4348.2076829999996</v>
      </c>
      <c r="E18" s="767">
        <v>6960.1545260000003</v>
      </c>
      <c r="F18" s="767" t="s">
        <v>298</v>
      </c>
      <c r="G18" s="767">
        <v>8935.1370740000002</v>
      </c>
      <c r="H18" s="767" t="s">
        <v>298</v>
      </c>
      <c r="I18" s="767">
        <v>121.39</v>
      </c>
      <c r="L18" s="632"/>
      <c r="N18" s="632"/>
      <c r="O18" s="632"/>
      <c r="P18" s="632"/>
      <c r="Q18" s="632"/>
      <c r="R18" s="632"/>
      <c r="S18" s="632"/>
      <c r="T18" s="632"/>
      <c r="U18" s="632"/>
    </row>
    <row r="19" spans="1:21" ht="10.35" customHeight="1">
      <c r="A19" s="2510"/>
      <c r="B19" s="765" t="s">
        <v>1521</v>
      </c>
      <c r="C19" s="768" t="s">
        <v>298</v>
      </c>
      <c r="D19" s="768" t="s">
        <v>298</v>
      </c>
      <c r="E19" s="768" t="s">
        <v>298</v>
      </c>
      <c r="F19" s="768" t="s">
        <v>298</v>
      </c>
      <c r="G19" s="768" t="s">
        <v>298</v>
      </c>
      <c r="H19" s="768" t="s">
        <v>298</v>
      </c>
      <c r="I19" s="768" t="s">
        <v>298</v>
      </c>
      <c r="L19" s="632"/>
      <c r="N19" s="632"/>
      <c r="O19" s="632"/>
      <c r="P19" s="632"/>
      <c r="Q19" s="632"/>
      <c r="R19" s="632"/>
      <c r="S19" s="632"/>
      <c r="T19" s="632"/>
      <c r="U19" s="632"/>
    </row>
    <row r="20" spans="1:21" ht="10.35" customHeight="1">
      <c r="A20" s="2510"/>
      <c r="B20" s="766" t="s">
        <v>1522</v>
      </c>
      <c r="C20" s="767" t="s">
        <v>298</v>
      </c>
      <c r="D20" s="767" t="s">
        <v>298</v>
      </c>
      <c r="E20" s="767" t="s">
        <v>298</v>
      </c>
      <c r="F20" s="767" t="s">
        <v>298</v>
      </c>
      <c r="G20" s="767" t="s">
        <v>298</v>
      </c>
      <c r="H20" s="767" t="s">
        <v>298</v>
      </c>
      <c r="I20" s="767" t="s">
        <v>298</v>
      </c>
      <c r="L20" s="632"/>
      <c r="N20" s="632"/>
      <c r="O20" s="632"/>
      <c r="P20" s="632"/>
      <c r="Q20" s="632"/>
      <c r="R20" s="632"/>
      <c r="S20" s="632"/>
      <c r="T20" s="632"/>
      <c r="U20" s="632"/>
    </row>
    <row r="21" spans="1:21" ht="10.35" customHeight="1">
      <c r="A21" s="2510" t="s">
        <v>1242</v>
      </c>
      <c r="B21" s="765" t="s">
        <v>1535</v>
      </c>
      <c r="C21" s="768" t="s">
        <v>298</v>
      </c>
      <c r="D21" s="768" t="s">
        <v>298</v>
      </c>
      <c r="E21" s="768" t="s">
        <v>298</v>
      </c>
      <c r="F21" s="768" t="s">
        <v>298</v>
      </c>
      <c r="G21" s="768" t="s">
        <v>298</v>
      </c>
      <c r="H21" s="768" t="s">
        <v>298</v>
      </c>
      <c r="I21" s="768" t="s">
        <v>298</v>
      </c>
      <c r="L21" s="632"/>
      <c r="N21" s="632"/>
      <c r="O21" s="632"/>
      <c r="P21" s="632"/>
      <c r="Q21" s="632"/>
      <c r="R21" s="632"/>
      <c r="S21" s="632"/>
      <c r="T21" s="632"/>
      <c r="U21" s="632"/>
    </row>
    <row r="22" spans="1:21" ht="10.35" customHeight="1">
      <c r="A22" s="2510"/>
      <c r="B22" s="766" t="s">
        <v>1536</v>
      </c>
      <c r="C22" s="767">
        <v>13907.12</v>
      </c>
      <c r="D22" s="767">
        <v>20985.53</v>
      </c>
      <c r="E22" s="767">
        <v>136683.128096</v>
      </c>
      <c r="F22" s="767">
        <v>888.48</v>
      </c>
      <c r="G22" s="776">
        <v>44146.8</v>
      </c>
      <c r="H22" s="767">
        <v>5.6866666666666674</v>
      </c>
      <c r="I22" s="767">
        <v>86.005195000000001</v>
      </c>
      <c r="L22" s="632"/>
      <c r="N22" s="632"/>
      <c r="O22" s="632"/>
      <c r="P22" s="632"/>
      <c r="Q22" s="632"/>
      <c r="R22" s="632"/>
      <c r="S22" s="632"/>
      <c r="T22" s="632"/>
      <c r="U22" s="632"/>
    </row>
    <row r="23" spans="1:21" ht="10.35" customHeight="1">
      <c r="A23" s="2510"/>
      <c r="B23" s="765" t="s">
        <v>1517</v>
      </c>
      <c r="C23" s="768" t="s">
        <v>298</v>
      </c>
      <c r="D23" s="768" t="s">
        <v>298</v>
      </c>
      <c r="E23" s="768" t="s">
        <v>298</v>
      </c>
      <c r="F23" s="768" t="s">
        <v>298</v>
      </c>
      <c r="G23" s="768" t="s">
        <v>298</v>
      </c>
      <c r="H23" s="768" t="s">
        <v>298</v>
      </c>
      <c r="I23" s="768">
        <v>75.241674784182706</v>
      </c>
      <c r="L23" s="632"/>
      <c r="N23" s="632"/>
      <c r="O23" s="632"/>
      <c r="P23" s="632"/>
      <c r="Q23" s="632"/>
      <c r="R23" s="632"/>
      <c r="S23" s="632"/>
      <c r="T23" s="632"/>
      <c r="U23" s="632"/>
    </row>
    <row r="24" spans="1:21" ht="10.35" customHeight="1">
      <c r="A24" s="2510"/>
      <c r="B24" s="766" t="s">
        <v>1518</v>
      </c>
      <c r="C24" s="767">
        <v>117048.7230758153</v>
      </c>
      <c r="D24" s="767">
        <v>171640.4361853741</v>
      </c>
      <c r="E24" s="767">
        <v>1568628.04011761</v>
      </c>
      <c r="F24" s="767">
        <v>13776.501501999999</v>
      </c>
      <c r="G24" s="767">
        <v>607309.13</v>
      </c>
      <c r="H24" s="767">
        <v>6.34</v>
      </c>
      <c r="I24" s="767">
        <v>75.250421666666668</v>
      </c>
      <c r="L24" s="632"/>
      <c r="N24" s="632"/>
      <c r="O24" s="632"/>
      <c r="P24" s="632"/>
      <c r="Q24" s="632"/>
      <c r="R24" s="632"/>
      <c r="S24" s="632"/>
      <c r="T24" s="632"/>
      <c r="U24" s="632"/>
    </row>
    <row r="25" spans="1:21" ht="10.35" customHeight="1">
      <c r="A25" s="2510"/>
      <c r="B25" s="765" t="s">
        <v>1519</v>
      </c>
      <c r="C25" s="768">
        <v>114.64</v>
      </c>
      <c r="D25" s="768">
        <v>769.19</v>
      </c>
      <c r="E25" s="768">
        <v>204.17</v>
      </c>
      <c r="F25" s="768" t="s">
        <v>298</v>
      </c>
      <c r="G25" s="768">
        <v>865.19</v>
      </c>
      <c r="H25" s="768">
        <v>0.87</v>
      </c>
      <c r="I25" s="768">
        <v>15.4</v>
      </c>
      <c r="L25" s="632"/>
      <c r="N25" s="632"/>
      <c r="O25" s="632"/>
      <c r="P25" s="632"/>
      <c r="Q25" s="632"/>
      <c r="R25" s="632"/>
      <c r="S25" s="632"/>
      <c r="T25" s="632"/>
      <c r="U25" s="632"/>
    </row>
    <row r="26" spans="1:21" ht="10.35" customHeight="1">
      <c r="A26" s="2510"/>
      <c r="B26" s="766" t="s">
        <v>1520</v>
      </c>
      <c r="C26" s="767">
        <v>345.63761699999998</v>
      </c>
      <c r="D26" s="767">
        <v>3871.3336199999999</v>
      </c>
      <c r="E26" s="767">
        <v>7154.3862220000001</v>
      </c>
      <c r="F26" s="767" t="s">
        <v>298</v>
      </c>
      <c r="G26" s="767">
        <v>8307.2269269999997</v>
      </c>
      <c r="H26" s="767" t="s">
        <v>298</v>
      </c>
      <c r="I26" s="767">
        <v>122.55</v>
      </c>
      <c r="L26" s="632"/>
      <c r="N26" s="632"/>
      <c r="O26" s="632"/>
      <c r="P26" s="632"/>
      <c r="Q26" s="632"/>
      <c r="R26" s="632"/>
      <c r="S26" s="632"/>
      <c r="T26" s="632"/>
      <c r="U26" s="632"/>
    </row>
    <row r="27" spans="1:21" ht="10.35" customHeight="1">
      <c r="A27" s="2510"/>
      <c r="B27" s="765" t="s">
        <v>1521</v>
      </c>
      <c r="C27" s="768" t="s">
        <v>298</v>
      </c>
      <c r="D27" s="768" t="s">
        <v>298</v>
      </c>
      <c r="E27" s="768" t="s">
        <v>298</v>
      </c>
      <c r="F27" s="768" t="s">
        <v>298</v>
      </c>
      <c r="G27" s="768" t="s">
        <v>298</v>
      </c>
      <c r="H27" s="768" t="s">
        <v>298</v>
      </c>
      <c r="I27" s="768" t="s">
        <v>298</v>
      </c>
      <c r="L27" s="632"/>
      <c r="N27" s="632"/>
      <c r="O27" s="632"/>
      <c r="P27" s="632"/>
      <c r="Q27" s="632"/>
      <c r="R27" s="632"/>
      <c r="S27" s="632"/>
      <c r="T27" s="632"/>
      <c r="U27" s="632"/>
    </row>
    <row r="28" spans="1:21" ht="10.35" customHeight="1">
      <c r="A28" s="2510"/>
      <c r="B28" s="766" t="s">
        <v>1522</v>
      </c>
      <c r="C28" s="767" t="s">
        <v>298</v>
      </c>
      <c r="D28" s="767" t="s">
        <v>298</v>
      </c>
      <c r="E28" s="767" t="s">
        <v>298</v>
      </c>
      <c r="F28" s="767" t="s">
        <v>298</v>
      </c>
      <c r="G28" s="767" t="s">
        <v>298</v>
      </c>
      <c r="H28" s="767" t="s">
        <v>298</v>
      </c>
      <c r="I28" s="767" t="s">
        <v>298</v>
      </c>
      <c r="L28" s="632"/>
      <c r="N28" s="632"/>
      <c r="O28" s="632"/>
      <c r="P28" s="632"/>
      <c r="Q28" s="632"/>
      <c r="R28" s="632"/>
      <c r="S28" s="632"/>
      <c r="T28" s="632"/>
      <c r="U28" s="632"/>
    </row>
    <row r="29" spans="1:21" ht="10.35" customHeight="1">
      <c r="A29" s="2510" t="s">
        <v>1243</v>
      </c>
      <c r="B29" s="765" t="s">
        <v>1535</v>
      </c>
      <c r="C29" s="768" t="s">
        <v>298</v>
      </c>
      <c r="D29" s="768" t="s">
        <v>298</v>
      </c>
      <c r="E29" s="768" t="s">
        <v>298</v>
      </c>
      <c r="F29" s="768" t="s">
        <v>298</v>
      </c>
      <c r="G29" s="768" t="s">
        <v>298</v>
      </c>
      <c r="H29" s="768" t="s">
        <v>298</v>
      </c>
      <c r="I29" s="768" t="s">
        <v>298</v>
      </c>
      <c r="L29" s="632"/>
      <c r="N29" s="632"/>
      <c r="O29" s="632"/>
      <c r="P29" s="632"/>
      <c r="Q29" s="632"/>
      <c r="R29" s="632"/>
      <c r="S29" s="632"/>
      <c r="T29" s="632"/>
      <c r="U29" s="632"/>
    </row>
    <row r="30" spans="1:21" ht="10.35" customHeight="1">
      <c r="A30" s="2510"/>
      <c r="B30" s="766" t="s">
        <v>1536</v>
      </c>
      <c r="C30" s="767">
        <v>13476.99</v>
      </c>
      <c r="D30" s="767">
        <v>21546.7</v>
      </c>
      <c r="E30" s="767">
        <v>132251.76129900001</v>
      </c>
      <c r="F30" s="767">
        <v>787.48</v>
      </c>
      <c r="G30" s="776">
        <v>41826.700000000004</v>
      </c>
      <c r="H30" s="767">
        <v>5.9833333333333334</v>
      </c>
      <c r="I30" s="767">
        <v>88.511646999999996</v>
      </c>
      <c r="L30" s="769"/>
      <c r="M30" s="769"/>
      <c r="N30" s="1257"/>
      <c r="O30" s="272"/>
      <c r="P30" s="769"/>
      <c r="Q30" s="632"/>
      <c r="R30" s="632"/>
      <c r="S30" s="632"/>
      <c r="T30" s="632"/>
      <c r="U30" s="632"/>
    </row>
    <row r="31" spans="1:21" ht="10.35" customHeight="1">
      <c r="A31" s="2510"/>
      <c r="B31" s="765" t="s">
        <v>1517</v>
      </c>
      <c r="C31" s="768" t="s">
        <v>298</v>
      </c>
      <c r="D31" s="768" t="s">
        <v>298</v>
      </c>
      <c r="E31" s="768" t="s">
        <v>298</v>
      </c>
      <c r="F31" s="768" t="s">
        <v>298</v>
      </c>
      <c r="G31" s="768" t="s">
        <v>298</v>
      </c>
      <c r="H31" s="768" t="s">
        <v>298</v>
      </c>
      <c r="I31" s="768">
        <v>51.163637816764094</v>
      </c>
      <c r="L31" s="1257"/>
      <c r="M31" s="1257"/>
      <c r="N31" s="1257"/>
      <c r="O31" s="1257"/>
      <c r="P31" s="769"/>
      <c r="Q31" s="632"/>
      <c r="R31" s="632"/>
      <c r="S31" s="632"/>
      <c r="T31" s="632"/>
      <c r="U31" s="632"/>
    </row>
    <row r="32" spans="1:21" ht="10.35" customHeight="1">
      <c r="A32" s="2510"/>
      <c r="B32" s="766" t="s">
        <v>1518</v>
      </c>
      <c r="C32" s="767">
        <v>120921.1206651789</v>
      </c>
      <c r="D32" s="767">
        <v>183558.0091525281</v>
      </c>
      <c r="E32" s="767">
        <v>1539147.47663921</v>
      </c>
      <c r="F32" s="767">
        <v>13582.065572</v>
      </c>
      <c r="G32" s="767">
        <v>589154.57000000007</v>
      </c>
      <c r="H32" s="767">
        <v>7.28</v>
      </c>
      <c r="I32" s="767">
        <v>77.250786666666656</v>
      </c>
      <c r="L32" s="632"/>
      <c r="N32" s="632"/>
      <c r="O32" s="632"/>
      <c r="P32" s="632"/>
      <c r="Q32" s="632"/>
      <c r="R32" s="632"/>
      <c r="S32" s="632"/>
      <c r="T32" s="632"/>
      <c r="U32" s="632"/>
    </row>
    <row r="33" spans="1:21" ht="10.35" customHeight="1">
      <c r="A33" s="2510"/>
      <c r="B33" s="765" t="s">
        <v>1519</v>
      </c>
      <c r="C33" s="768">
        <v>89.53</v>
      </c>
      <c r="D33" s="768">
        <v>931.74</v>
      </c>
      <c r="E33" s="768">
        <v>212.53</v>
      </c>
      <c r="F33" s="768" t="s">
        <v>298</v>
      </c>
      <c r="G33" s="768">
        <v>750.44</v>
      </c>
      <c r="H33" s="768">
        <v>1.03</v>
      </c>
      <c r="I33" s="768">
        <v>15.4</v>
      </c>
      <c r="L33" s="632"/>
      <c r="N33" s="632"/>
      <c r="O33" s="632"/>
      <c r="P33" s="632"/>
      <c r="Q33" s="632"/>
      <c r="R33" s="632"/>
      <c r="S33" s="632"/>
      <c r="T33" s="632"/>
      <c r="U33" s="632"/>
    </row>
    <row r="34" spans="1:21" ht="10.35" customHeight="1">
      <c r="A34" s="2510"/>
      <c r="B34" s="766" t="s">
        <v>1520</v>
      </c>
      <c r="C34" s="767">
        <v>317.38042300000001</v>
      </c>
      <c r="D34" s="767">
        <v>3649.7753929999999</v>
      </c>
      <c r="E34" s="767">
        <v>7014.7818799999995</v>
      </c>
      <c r="F34" s="767" t="s">
        <v>298</v>
      </c>
      <c r="G34" s="767">
        <v>8264.3849379999992</v>
      </c>
      <c r="H34" s="767" t="s">
        <v>298</v>
      </c>
      <c r="I34" s="767">
        <v>124.86</v>
      </c>
      <c r="L34" s="632"/>
      <c r="N34" s="632"/>
      <c r="O34" s="632"/>
      <c r="P34" s="632"/>
      <c r="Q34" s="632"/>
      <c r="R34" s="632"/>
      <c r="S34" s="632"/>
      <c r="T34" s="632"/>
      <c r="U34" s="632"/>
    </row>
    <row r="35" spans="1:21" ht="10.35" customHeight="1">
      <c r="A35" s="2510"/>
      <c r="B35" s="765" t="s">
        <v>1521</v>
      </c>
      <c r="C35" s="768" t="s">
        <v>298</v>
      </c>
      <c r="D35" s="768" t="s">
        <v>298</v>
      </c>
      <c r="E35" s="768" t="s">
        <v>298</v>
      </c>
      <c r="F35" s="768" t="s">
        <v>298</v>
      </c>
      <c r="G35" s="768" t="s">
        <v>298</v>
      </c>
      <c r="H35" s="768" t="s">
        <v>298</v>
      </c>
      <c r="I35" s="768" t="s">
        <v>298</v>
      </c>
      <c r="L35" s="632"/>
      <c r="N35" s="632"/>
      <c r="O35" s="632"/>
      <c r="P35" s="632"/>
      <c r="Q35" s="632"/>
      <c r="R35" s="632"/>
      <c r="S35" s="632"/>
      <c r="T35" s="632"/>
      <c r="U35" s="632"/>
    </row>
    <row r="36" spans="1:21" ht="10.35" customHeight="1">
      <c r="A36" s="2510"/>
      <c r="B36" s="766" t="s">
        <v>1522</v>
      </c>
      <c r="C36" s="767" t="s">
        <v>298</v>
      </c>
      <c r="D36" s="767" t="s">
        <v>298</v>
      </c>
      <c r="E36" s="767" t="s">
        <v>298</v>
      </c>
      <c r="F36" s="767" t="s">
        <v>298</v>
      </c>
      <c r="G36" s="767" t="s">
        <v>298</v>
      </c>
      <c r="H36" s="767" t="s">
        <v>298</v>
      </c>
      <c r="I36" s="767" t="s">
        <v>298</v>
      </c>
      <c r="L36" s="632"/>
      <c r="N36" s="632"/>
      <c r="O36" s="632"/>
      <c r="P36" s="632"/>
      <c r="Q36" s="632"/>
      <c r="R36" s="632"/>
      <c r="S36" s="632"/>
      <c r="T36" s="632"/>
      <c r="U36" s="632"/>
    </row>
    <row r="37" spans="1:21" ht="12.75" customHeight="1">
      <c r="A37" s="1405" t="s">
        <v>2352</v>
      </c>
      <c r="B37" s="1405"/>
      <c r="C37" s="1406"/>
      <c r="D37" s="1406"/>
      <c r="E37" s="1406"/>
      <c r="F37" s="1406"/>
      <c r="G37" s="1406"/>
      <c r="H37" s="1406"/>
      <c r="I37" s="1407"/>
    </row>
    <row r="38" spans="1:21" ht="10.35" customHeight="1">
      <c r="A38" s="2509" t="s">
        <v>1244</v>
      </c>
      <c r="B38" s="765" t="s">
        <v>1535</v>
      </c>
      <c r="C38" s="772" t="s">
        <v>298</v>
      </c>
      <c r="D38" s="772" t="s">
        <v>298</v>
      </c>
      <c r="E38" s="772" t="s">
        <v>298</v>
      </c>
      <c r="F38" s="772" t="s">
        <v>298</v>
      </c>
      <c r="G38" s="772" t="s">
        <v>298</v>
      </c>
      <c r="H38" s="772" t="s">
        <v>298</v>
      </c>
      <c r="I38" s="772" t="s">
        <v>298</v>
      </c>
      <c r="J38" s="732"/>
    </row>
    <row r="39" spans="1:21" ht="10.35" customHeight="1">
      <c r="A39" s="2510"/>
      <c r="B39" s="766" t="s">
        <v>1536</v>
      </c>
      <c r="C39" s="776">
        <v>12496.9</v>
      </c>
      <c r="D39" s="776">
        <v>20849</v>
      </c>
      <c r="E39" s="776">
        <v>132040.66145799999</v>
      </c>
      <c r="F39" s="776">
        <v>1100.1600000000001</v>
      </c>
      <c r="G39" s="776">
        <v>36476.400000000001</v>
      </c>
      <c r="H39" s="776">
        <v>6.6500000000000012</v>
      </c>
      <c r="I39" s="776">
        <v>94.8</v>
      </c>
    </row>
    <row r="40" spans="1:21" ht="10.35" customHeight="1">
      <c r="A40" s="2510"/>
      <c r="B40" s="765" t="s">
        <v>1517</v>
      </c>
      <c r="C40" s="772" t="s">
        <v>298</v>
      </c>
      <c r="D40" s="772" t="s">
        <v>298</v>
      </c>
      <c r="E40" s="772" t="s">
        <v>298</v>
      </c>
      <c r="F40" s="772" t="s">
        <v>298</v>
      </c>
      <c r="G40" s="772" t="s">
        <v>298</v>
      </c>
      <c r="H40" s="772" t="s">
        <v>298</v>
      </c>
      <c r="I40" s="768" t="s">
        <v>298</v>
      </c>
    </row>
    <row r="41" spans="1:21" ht="10.35" customHeight="1">
      <c r="A41" s="2510"/>
      <c r="B41" s="766" t="s">
        <v>1518</v>
      </c>
      <c r="C41" s="776">
        <v>110765.8365873812</v>
      </c>
      <c r="D41" s="776">
        <v>189086.35345946072</v>
      </c>
      <c r="E41" s="776">
        <v>1548685.9687292301</v>
      </c>
      <c r="F41" s="776">
        <v>6437.0842389999998</v>
      </c>
      <c r="G41" s="776">
        <v>532663.72</v>
      </c>
      <c r="H41" s="776">
        <v>7.04</v>
      </c>
      <c r="I41" s="776">
        <v>79.810850000000002</v>
      </c>
    </row>
    <row r="42" spans="1:21" ht="10.35" customHeight="1">
      <c r="A42" s="2510"/>
      <c r="B42" s="765" t="s">
        <v>1519</v>
      </c>
      <c r="C42" s="772">
        <v>79.05</v>
      </c>
      <c r="D42" s="772">
        <v>876.14</v>
      </c>
      <c r="E42" s="772">
        <v>211.64</v>
      </c>
      <c r="F42" s="772" t="s">
        <v>298</v>
      </c>
      <c r="G42" s="768">
        <v>540.28</v>
      </c>
      <c r="H42" s="768">
        <v>1.59</v>
      </c>
      <c r="I42" s="772">
        <v>15.39</v>
      </c>
    </row>
    <row r="43" spans="1:21" ht="10.35" customHeight="1">
      <c r="A43" s="2510"/>
      <c r="B43" s="766" t="s">
        <v>1520</v>
      </c>
      <c r="C43" s="767">
        <v>325.92813699999999</v>
      </c>
      <c r="D43" s="767">
        <v>3124.8529239999998</v>
      </c>
      <c r="E43" s="767">
        <v>6887.5999629999997</v>
      </c>
      <c r="F43" s="767" t="s">
        <v>298</v>
      </c>
      <c r="G43" s="767">
        <v>8245.9790379999995</v>
      </c>
      <c r="H43" s="767" t="s">
        <v>298</v>
      </c>
      <c r="I43" s="767">
        <v>127.52</v>
      </c>
    </row>
    <row r="44" spans="1:21" ht="10.35" customHeight="1">
      <c r="A44" s="2510"/>
      <c r="B44" s="765" t="s">
        <v>1521</v>
      </c>
      <c r="C44" s="772" t="s">
        <v>298</v>
      </c>
      <c r="D44" s="772" t="s">
        <v>298</v>
      </c>
      <c r="E44" s="772" t="s">
        <v>298</v>
      </c>
      <c r="F44" s="772" t="s">
        <v>298</v>
      </c>
      <c r="G44" s="772" t="s">
        <v>298</v>
      </c>
      <c r="H44" s="772" t="s">
        <v>298</v>
      </c>
      <c r="I44" s="768" t="s">
        <v>298</v>
      </c>
    </row>
    <row r="45" spans="1:21" ht="10.35" customHeight="1">
      <c r="A45" s="2510"/>
      <c r="B45" s="766" t="s">
        <v>1522</v>
      </c>
      <c r="C45" s="767" t="s">
        <v>298</v>
      </c>
      <c r="D45" s="767" t="s">
        <v>298</v>
      </c>
      <c r="E45" s="767" t="s">
        <v>298</v>
      </c>
      <c r="F45" s="767" t="s">
        <v>298</v>
      </c>
      <c r="G45" s="767" t="s">
        <v>298</v>
      </c>
      <c r="H45" s="767" t="s">
        <v>298</v>
      </c>
      <c r="I45" s="767" t="s">
        <v>298</v>
      </c>
    </row>
    <row r="46" spans="1:21" ht="10.35" customHeight="1">
      <c r="A46" s="2510" t="s">
        <v>1368</v>
      </c>
      <c r="B46" s="765" t="s">
        <v>1535</v>
      </c>
      <c r="C46" s="772" t="s">
        <v>298</v>
      </c>
      <c r="D46" s="772" t="s">
        <v>298</v>
      </c>
      <c r="E46" s="772" t="s">
        <v>298</v>
      </c>
      <c r="F46" s="772" t="s">
        <v>298</v>
      </c>
      <c r="G46" s="772" t="s">
        <v>298</v>
      </c>
      <c r="H46" s="772" t="s">
        <v>298</v>
      </c>
      <c r="I46" s="772" t="s">
        <v>298</v>
      </c>
    </row>
    <row r="47" spans="1:21" ht="10.35" customHeight="1">
      <c r="A47" s="2510"/>
      <c r="B47" s="766" t="s">
        <v>1536</v>
      </c>
      <c r="C47" s="776">
        <v>14814.37</v>
      </c>
      <c r="D47" s="776">
        <v>17462.2</v>
      </c>
      <c r="E47" s="776">
        <v>133407.76</v>
      </c>
      <c r="F47" s="776">
        <v>703.83</v>
      </c>
      <c r="G47" s="776">
        <v>33747.699999999997</v>
      </c>
      <c r="H47" s="776">
        <v>7.47</v>
      </c>
      <c r="I47" s="776">
        <v>97.69</v>
      </c>
    </row>
    <row r="48" spans="1:21" ht="10.35" customHeight="1">
      <c r="A48" s="2510"/>
      <c r="B48" s="765" t="s">
        <v>1517</v>
      </c>
      <c r="C48" s="772" t="s">
        <v>298</v>
      </c>
      <c r="D48" s="772" t="s">
        <v>298</v>
      </c>
      <c r="E48" s="772" t="s">
        <v>298</v>
      </c>
      <c r="F48" s="772" t="s">
        <v>298</v>
      </c>
      <c r="G48" s="772" t="s">
        <v>298</v>
      </c>
      <c r="H48" s="772" t="s">
        <v>298</v>
      </c>
      <c r="I48" s="768" t="s">
        <v>298</v>
      </c>
    </row>
    <row r="49" spans="1:9" ht="10.35" customHeight="1">
      <c r="A49" s="2510"/>
      <c r="B49" s="766" t="s">
        <v>1518</v>
      </c>
      <c r="C49" s="776">
        <v>104574.57138194841</v>
      </c>
      <c r="D49" s="776">
        <v>177373.09883756709</v>
      </c>
      <c r="E49" s="776">
        <v>1607078.6181754901</v>
      </c>
      <c r="F49" s="776">
        <v>2321.669261</v>
      </c>
      <c r="G49" s="776">
        <v>562720.56000000006</v>
      </c>
      <c r="H49" s="776">
        <v>6.12</v>
      </c>
      <c r="I49" s="776">
        <v>82.19944666666666</v>
      </c>
    </row>
    <row r="50" spans="1:9" ht="10.35" customHeight="1">
      <c r="A50" s="2510"/>
      <c r="B50" s="765" t="s">
        <v>1519</v>
      </c>
      <c r="C50" s="772">
        <v>116.53</v>
      </c>
      <c r="D50" s="772">
        <v>938.6</v>
      </c>
      <c r="E50" s="772">
        <v>218.01</v>
      </c>
      <c r="F50" s="772" t="s">
        <v>298</v>
      </c>
      <c r="G50" s="768">
        <v>832.09</v>
      </c>
      <c r="H50" s="768">
        <v>2.33</v>
      </c>
      <c r="I50" s="772">
        <v>15.39</v>
      </c>
    </row>
    <row r="51" spans="1:9" ht="10.35" customHeight="1">
      <c r="A51" s="2510"/>
      <c r="B51" s="766" t="s">
        <v>1520</v>
      </c>
      <c r="C51" s="767">
        <v>296.28419400000001</v>
      </c>
      <c r="D51" s="767">
        <v>2976.9653039999998</v>
      </c>
      <c r="E51" s="767">
        <v>6711.4568730000001</v>
      </c>
      <c r="F51" s="767" t="s">
        <v>298</v>
      </c>
      <c r="G51" s="767">
        <v>8634.3435150000005</v>
      </c>
      <c r="H51" s="767" t="s">
        <v>298</v>
      </c>
      <c r="I51" s="767">
        <v>131.94</v>
      </c>
    </row>
    <row r="52" spans="1:9" ht="10.35" customHeight="1">
      <c r="A52" s="2510"/>
      <c r="B52" s="765" t="s">
        <v>1521</v>
      </c>
      <c r="C52" s="772" t="s">
        <v>298</v>
      </c>
      <c r="D52" s="772" t="s">
        <v>298</v>
      </c>
      <c r="E52" s="772" t="s">
        <v>298</v>
      </c>
      <c r="F52" s="772" t="s">
        <v>298</v>
      </c>
      <c r="G52" s="772" t="s">
        <v>298</v>
      </c>
      <c r="H52" s="772" t="s">
        <v>298</v>
      </c>
      <c r="I52" s="772" t="s">
        <v>298</v>
      </c>
    </row>
    <row r="53" spans="1:9" ht="10.35" customHeight="1">
      <c r="A53" s="2510"/>
      <c r="B53" s="766" t="s">
        <v>1522</v>
      </c>
      <c r="C53" s="767" t="s">
        <v>298</v>
      </c>
      <c r="D53" s="767" t="s">
        <v>298</v>
      </c>
      <c r="E53" s="767" t="s">
        <v>298</v>
      </c>
      <c r="F53" s="767" t="s">
        <v>298</v>
      </c>
      <c r="G53" s="767" t="s">
        <v>298</v>
      </c>
      <c r="H53" s="767" t="s">
        <v>298</v>
      </c>
      <c r="I53" s="767" t="s">
        <v>298</v>
      </c>
    </row>
    <row r="54" spans="1:9" ht="7.5" customHeight="1">
      <c r="A54" s="1408"/>
      <c r="B54" s="1408"/>
      <c r="C54" s="1409"/>
      <c r="D54" s="1409"/>
      <c r="E54" s="1409"/>
      <c r="F54" s="1409"/>
      <c r="G54" s="1409"/>
      <c r="H54" s="1409"/>
      <c r="I54" s="1409"/>
    </row>
    <row r="55" spans="1:9">
      <c r="A55" s="769" t="s">
        <v>16</v>
      </c>
      <c r="B55" s="769" t="s">
        <v>1297</v>
      </c>
      <c r="C55" s="1257"/>
      <c r="D55" s="272"/>
      <c r="E55" s="769"/>
      <c r="F55" s="1257"/>
      <c r="G55" s="769" t="s">
        <v>1390</v>
      </c>
      <c r="H55" s="1257"/>
      <c r="I55" s="1257"/>
    </row>
    <row r="56" spans="1:9">
      <c r="A56" s="1257"/>
      <c r="B56" s="1257"/>
      <c r="C56" s="1257"/>
      <c r="D56" s="1257"/>
      <c r="E56" s="769" t="s">
        <v>382</v>
      </c>
      <c r="F56" s="1257"/>
      <c r="G56" s="1257"/>
      <c r="H56" s="1257"/>
      <c r="I56" s="1257"/>
    </row>
    <row r="57" spans="1:9">
      <c r="G57" s="1257"/>
    </row>
    <row r="66" spans="1:7">
      <c r="A66" s="769"/>
      <c r="B66" s="769"/>
      <c r="C66" s="1257"/>
      <c r="D66" s="272"/>
      <c r="E66" s="769"/>
      <c r="F66" s="1257"/>
      <c r="G66" s="769"/>
    </row>
    <row r="67" spans="1:7">
      <c r="A67" s="1257"/>
      <c r="B67" s="1257"/>
      <c r="C67" s="1257"/>
      <c r="D67" s="1257"/>
      <c r="E67" s="769"/>
      <c r="F67" s="1257"/>
      <c r="G67" s="1257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V49"/>
  <sheetViews>
    <sheetView topLeftCell="A19" zoomScale="140" zoomScaleNormal="140" workbookViewId="0">
      <selection activeCell="O41" sqref="O41:P43"/>
    </sheetView>
  </sheetViews>
  <sheetFormatPr defaultRowHeight="12.75"/>
  <cols>
    <col min="1" max="1" width="8.140625" style="1257" customWidth="1"/>
    <col min="2" max="2" width="8.5703125" style="1257" customWidth="1"/>
    <col min="3" max="3" width="7.42578125" style="1257" bestFit="1" customWidth="1"/>
    <col min="4" max="4" width="8.28515625" style="1257" customWidth="1"/>
    <col min="5" max="5" width="7.7109375" style="1257" customWidth="1"/>
    <col min="6" max="7" width="7.85546875" style="1257" customWidth="1"/>
    <col min="8" max="8" width="8.42578125" style="1257" customWidth="1"/>
    <col min="9" max="9" width="8.7109375" style="1257" customWidth="1"/>
    <col min="10" max="10" width="7.140625" style="1257" customWidth="1"/>
    <col min="11" max="11" width="5.42578125" style="1257" customWidth="1"/>
    <col min="12" max="13" width="6.28515625" style="1257" customWidth="1"/>
    <col min="14" max="14" width="5.42578125" style="1257" customWidth="1"/>
    <col min="15" max="15" width="8" style="1257" customWidth="1"/>
    <col min="16" max="16" width="7.5703125" style="1257" customWidth="1"/>
    <col min="17" max="17" width="7" style="1257" customWidth="1"/>
    <col min="18" max="18" width="6.85546875" style="1257" customWidth="1"/>
    <col min="19" max="19" width="7.7109375" style="1257" customWidth="1"/>
    <col min="20" max="20" width="8" style="1257" customWidth="1"/>
    <col min="21" max="21" width="10.140625" style="1257" bestFit="1" customWidth="1"/>
    <col min="22" max="22" width="18.42578125" style="1257" bestFit="1" customWidth="1"/>
    <col min="23" max="16384" width="9.140625" style="1257"/>
  </cols>
  <sheetData>
    <row r="1" spans="1:22" ht="17.25" customHeight="1">
      <c r="F1" s="2492" t="s">
        <v>2078</v>
      </c>
      <c r="G1" s="2492"/>
      <c r="H1" s="2492"/>
      <c r="I1" s="2492"/>
      <c r="J1" s="739" t="s">
        <v>2079</v>
      </c>
      <c r="K1" s="739"/>
      <c r="L1" s="739"/>
      <c r="M1" s="739"/>
      <c r="N1" s="739"/>
      <c r="O1" s="739"/>
    </row>
    <row r="2" spans="1:22" ht="12.75" customHeight="1">
      <c r="A2" s="729"/>
      <c r="B2" s="730"/>
      <c r="C2" s="730"/>
      <c r="D2" s="737"/>
      <c r="E2" s="737"/>
      <c r="F2" s="737"/>
      <c r="G2" s="737"/>
      <c r="H2" s="737"/>
      <c r="I2" s="731"/>
      <c r="J2" s="750"/>
      <c r="K2" s="750"/>
      <c r="L2" s="750"/>
      <c r="M2" s="731"/>
      <c r="N2" s="731"/>
      <c r="O2" s="731"/>
      <c r="P2" s="730"/>
      <c r="Q2" s="730"/>
      <c r="R2" s="2473" t="s">
        <v>2221</v>
      </c>
      <c r="S2" s="2529"/>
      <c r="T2" s="2529"/>
    </row>
    <row r="3" spans="1:22" ht="12.75" customHeight="1">
      <c r="A3" s="732"/>
      <c r="B3" s="732"/>
      <c r="C3" s="732"/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732"/>
      <c r="O3" s="732"/>
      <c r="P3" s="732"/>
      <c r="Q3" s="732"/>
      <c r="R3" s="2530" t="s">
        <v>24</v>
      </c>
      <c r="S3" s="2531"/>
      <c r="T3" s="2531"/>
    </row>
    <row r="4" spans="1:22" ht="14.25" customHeight="1">
      <c r="A4" s="2496" t="s">
        <v>498</v>
      </c>
      <c r="B4" s="2516" t="s">
        <v>2108</v>
      </c>
      <c r="C4" s="2517"/>
      <c r="D4" s="2517"/>
      <c r="E4" s="2517"/>
      <c r="F4" s="2518"/>
      <c r="G4" s="2519" t="s">
        <v>2080</v>
      </c>
      <c r="H4" s="2520"/>
      <c r="I4" s="2521"/>
      <c r="J4" s="2522" t="s">
        <v>2081</v>
      </c>
      <c r="K4" s="2517"/>
      <c r="L4" s="2517"/>
      <c r="M4" s="2518"/>
      <c r="N4" s="2523" t="s">
        <v>2126</v>
      </c>
      <c r="O4" s="2524" t="s">
        <v>2112</v>
      </c>
      <c r="P4" s="2524" t="s">
        <v>2111</v>
      </c>
      <c r="Q4" s="2524" t="s">
        <v>2082</v>
      </c>
      <c r="R4" s="2484" t="s">
        <v>2132</v>
      </c>
      <c r="S4" s="2524" t="s">
        <v>2113</v>
      </c>
      <c r="T4" s="2526" t="s">
        <v>498</v>
      </c>
    </row>
    <row r="5" spans="1:22" ht="68.25" customHeight="1">
      <c r="A5" s="2497"/>
      <c r="B5" s="1118" t="s">
        <v>2083</v>
      </c>
      <c r="C5" s="1119" t="s">
        <v>2084</v>
      </c>
      <c r="D5" s="1485" t="s">
        <v>2085</v>
      </c>
      <c r="E5" s="1138" t="s">
        <v>2109</v>
      </c>
      <c r="F5" s="1120" t="s">
        <v>2086</v>
      </c>
      <c r="G5" s="1484" t="s">
        <v>2087</v>
      </c>
      <c r="H5" s="1484" t="s">
        <v>2088</v>
      </c>
      <c r="I5" s="1484" t="s">
        <v>2089</v>
      </c>
      <c r="J5" s="1484" t="s">
        <v>2090</v>
      </c>
      <c r="K5" s="1142" t="s">
        <v>2110</v>
      </c>
      <c r="L5" s="1121" t="s">
        <v>2091</v>
      </c>
      <c r="M5" s="1152" t="s">
        <v>2131</v>
      </c>
      <c r="N5" s="2109"/>
      <c r="O5" s="2109"/>
      <c r="P5" s="2109"/>
      <c r="Q5" s="2109"/>
      <c r="R5" s="2485"/>
      <c r="S5" s="2525"/>
      <c r="T5" s="2527"/>
    </row>
    <row r="6" spans="1:22" ht="11.25" customHeight="1">
      <c r="A6" s="2498"/>
      <c r="B6" s="1489">
        <v>1</v>
      </c>
      <c r="C6" s="1122">
        <v>2</v>
      </c>
      <c r="D6" s="1122">
        <v>3</v>
      </c>
      <c r="E6" s="1122">
        <v>4</v>
      </c>
      <c r="F6" s="1122">
        <v>5</v>
      </c>
      <c r="G6" s="1122">
        <v>6</v>
      </c>
      <c r="H6" s="1122">
        <v>7</v>
      </c>
      <c r="I6" s="1122">
        <v>8</v>
      </c>
      <c r="J6" s="1122">
        <v>9</v>
      </c>
      <c r="K6" s="1122">
        <v>10</v>
      </c>
      <c r="L6" s="1122">
        <v>11</v>
      </c>
      <c r="M6" s="1122">
        <v>12</v>
      </c>
      <c r="N6" s="1122">
        <v>13</v>
      </c>
      <c r="O6" s="1122">
        <v>14</v>
      </c>
      <c r="P6" s="1122">
        <v>15</v>
      </c>
      <c r="Q6" s="1122">
        <v>16</v>
      </c>
      <c r="R6" s="1122">
        <v>17</v>
      </c>
      <c r="S6" s="1122">
        <v>18</v>
      </c>
      <c r="T6" s="2528"/>
    </row>
    <row r="7" spans="1:22" ht="11.85" customHeight="1">
      <c r="A7" s="1356" t="s">
        <v>1392</v>
      </c>
      <c r="B7" s="1357">
        <v>5778.93</v>
      </c>
      <c r="C7" s="1357">
        <v>25743.57</v>
      </c>
      <c r="D7" s="1357">
        <v>23651.01</v>
      </c>
      <c r="E7" s="1357">
        <v>5900.44</v>
      </c>
      <c r="F7" s="1357">
        <f>E7+D7+C7+B7</f>
        <v>61073.95</v>
      </c>
      <c r="G7" s="1357">
        <v>3372.6</v>
      </c>
      <c r="H7" s="1357">
        <v>11661.04</v>
      </c>
      <c r="I7" s="1357">
        <f>H7+G7</f>
        <v>15033.640000000001</v>
      </c>
      <c r="J7" s="1357">
        <v>1902.61</v>
      </c>
      <c r="K7" s="1357">
        <v>23.77</v>
      </c>
      <c r="L7" s="1357">
        <v>344.05</v>
      </c>
      <c r="M7" s="1357">
        <f>J7+K7+L7</f>
        <v>2270.4299999999998</v>
      </c>
      <c r="N7" s="1357">
        <f>86.61+71.78+248.27</f>
        <v>406.65999999999997</v>
      </c>
      <c r="O7" s="1357">
        <f>N7+M7+I7+F7</f>
        <v>78784.679999999993</v>
      </c>
      <c r="P7" s="1357">
        <v>32254.38</v>
      </c>
      <c r="Q7" s="1357">
        <v>20001.87</v>
      </c>
      <c r="R7" s="1357">
        <v>46530.3</v>
      </c>
      <c r="S7" s="1357">
        <v>287704.5</v>
      </c>
      <c r="T7" s="1355" t="s">
        <v>1392</v>
      </c>
    </row>
    <row r="8" spans="1:22" ht="11.85" customHeight="1">
      <c r="A8" s="1397" t="s">
        <v>1511</v>
      </c>
      <c r="B8" s="1125">
        <v>10372.989999999998</v>
      </c>
      <c r="C8" s="1125">
        <v>26930.83</v>
      </c>
      <c r="D8" s="1125">
        <v>27234.410000000003</v>
      </c>
      <c r="E8" s="1125">
        <v>5043.63</v>
      </c>
      <c r="F8" s="1125">
        <v>69581.86</v>
      </c>
      <c r="G8" s="1125">
        <v>3202.32</v>
      </c>
      <c r="H8" s="1125">
        <v>15495.210000000001</v>
      </c>
      <c r="I8" s="1125">
        <v>18697.530000000002</v>
      </c>
      <c r="J8" s="1125">
        <v>1366.67</v>
      </c>
      <c r="K8" s="1125">
        <v>47.739999999999995</v>
      </c>
      <c r="L8" s="1125">
        <v>471.64</v>
      </c>
      <c r="M8" s="1125">
        <v>1886.05</v>
      </c>
      <c r="N8" s="1125">
        <v>176.94</v>
      </c>
      <c r="O8" s="1125">
        <v>90342.38</v>
      </c>
      <c r="P8" s="1125">
        <v>40402.92</v>
      </c>
      <c r="Q8" s="1125">
        <v>24896.420000000002</v>
      </c>
      <c r="R8" s="1125">
        <v>49939.46</v>
      </c>
      <c r="S8" s="1125">
        <v>287704.45</v>
      </c>
      <c r="T8" s="1398" t="s">
        <v>1511</v>
      </c>
    </row>
    <row r="9" spans="1:22" ht="11.85" customHeight="1">
      <c r="A9" s="1370" t="s">
        <v>1602</v>
      </c>
      <c r="B9" s="1124">
        <v>8491.06</v>
      </c>
      <c r="C9" s="1124">
        <v>16756.449999999997</v>
      </c>
      <c r="D9" s="1124">
        <v>13843.539999999999</v>
      </c>
      <c r="E9" s="1124">
        <v>4590.7800000000007</v>
      </c>
      <c r="F9" s="1124">
        <v>43681.829999999994</v>
      </c>
      <c r="G9" s="1124">
        <v>3009.92</v>
      </c>
      <c r="H9" s="1124">
        <v>18637.46</v>
      </c>
      <c r="I9" s="1124">
        <v>21647.38</v>
      </c>
      <c r="J9" s="1124">
        <v>1341.26</v>
      </c>
      <c r="K9" s="1124">
        <v>29.64</v>
      </c>
      <c r="L9" s="1124">
        <v>249.21999999999997</v>
      </c>
      <c r="M9" s="1124">
        <v>1620.1200000000001</v>
      </c>
      <c r="N9" s="1124">
        <v>178.43</v>
      </c>
      <c r="O9" s="1124">
        <v>67127.759999999995</v>
      </c>
      <c r="P9" s="1124">
        <v>52699.41</v>
      </c>
      <c r="Q9" s="1124">
        <v>28105.119999999999</v>
      </c>
      <c r="R9" s="1124">
        <v>14428.349999999999</v>
      </c>
      <c r="S9" s="1124">
        <v>302132.96999999997</v>
      </c>
      <c r="T9" s="1668" t="s">
        <v>1602</v>
      </c>
    </row>
    <row r="10" spans="1:22" ht="11.85" customHeight="1">
      <c r="A10" s="1127" t="s">
        <v>1668</v>
      </c>
      <c r="B10" s="1123">
        <v>9550.2400000000016</v>
      </c>
      <c r="C10" s="1123">
        <v>42794.799999999988</v>
      </c>
      <c r="D10" s="1123">
        <v>31518.37999999999</v>
      </c>
      <c r="E10" s="1123">
        <v>7403.1</v>
      </c>
      <c r="F10" s="1123">
        <v>91266.52</v>
      </c>
      <c r="G10" s="1123">
        <v>1963.54</v>
      </c>
      <c r="H10" s="1123">
        <v>16981.04</v>
      </c>
      <c r="I10" s="1123">
        <v>18944.579999999998</v>
      </c>
      <c r="J10" s="1123">
        <v>1566</v>
      </c>
      <c r="K10" s="1123">
        <v>22.839999999999996</v>
      </c>
      <c r="L10" s="1123">
        <v>180.29999999999998</v>
      </c>
      <c r="M10" s="1123">
        <v>1769.1399999999999</v>
      </c>
      <c r="N10" s="1123">
        <v>208.04</v>
      </c>
      <c r="O10" s="1123">
        <v>112188.27999999997</v>
      </c>
      <c r="P10" s="1123">
        <v>70174.210000000006</v>
      </c>
      <c r="Q10" s="1123">
        <v>35087.29</v>
      </c>
      <c r="R10" s="1123">
        <v>42014.069999999992</v>
      </c>
      <c r="S10" s="1123">
        <v>344143.94</v>
      </c>
      <c r="T10" s="1130" t="s">
        <v>1668</v>
      </c>
    </row>
    <row r="11" spans="1:22" ht="11.85" customHeight="1">
      <c r="A11" s="1135" t="s">
        <v>2298</v>
      </c>
      <c r="B11" s="1126">
        <f>SUM(B12:B23)</f>
        <v>9366.43</v>
      </c>
      <c r="C11" s="1126">
        <f t="shared" ref="C11:R11" si="0">SUM(C12:C23)</f>
        <v>53146.05</v>
      </c>
      <c r="D11" s="1126">
        <f t="shared" si="0"/>
        <v>32999.51</v>
      </c>
      <c r="E11" s="1126">
        <f t="shared" si="0"/>
        <v>8140.11</v>
      </c>
      <c r="F11" s="1126">
        <f t="shared" si="0"/>
        <v>103652.1</v>
      </c>
      <c r="G11" s="1126">
        <f t="shared" si="0"/>
        <v>476.28000000000003</v>
      </c>
      <c r="H11" s="1126">
        <f t="shared" si="0"/>
        <v>2742.31</v>
      </c>
      <c r="I11" s="1126">
        <f t="shared" si="0"/>
        <v>3218.59</v>
      </c>
      <c r="J11" s="1126">
        <f t="shared" si="0"/>
        <v>866.29000000000008</v>
      </c>
      <c r="K11" s="1126">
        <f t="shared" si="0"/>
        <v>15.03</v>
      </c>
      <c r="L11" s="1126">
        <f t="shared" si="0"/>
        <v>101.71</v>
      </c>
      <c r="M11" s="1126">
        <f t="shared" si="0"/>
        <v>983.03000000000009</v>
      </c>
      <c r="N11" s="1126">
        <f t="shared" si="0"/>
        <v>208.49</v>
      </c>
      <c r="O11" s="1126">
        <f t="shared" si="0"/>
        <v>108062.20999999999</v>
      </c>
      <c r="P11" s="1126">
        <f t="shared" si="0"/>
        <v>88155.1</v>
      </c>
      <c r="Q11" s="1126">
        <f t="shared" si="0"/>
        <v>40008.300000000003</v>
      </c>
      <c r="R11" s="1126">
        <f t="shared" si="0"/>
        <v>19907.11</v>
      </c>
      <c r="S11" s="1126">
        <f>S23</f>
        <v>364051.04999999993</v>
      </c>
      <c r="T11" s="1136" t="s">
        <v>2298</v>
      </c>
      <c r="V11" s="814"/>
    </row>
    <row r="12" spans="1:22" ht="11.85" customHeight="1">
      <c r="A12" s="1129" t="s">
        <v>576</v>
      </c>
      <c r="B12" s="1125">
        <v>570.22</v>
      </c>
      <c r="C12" s="1125">
        <v>2484.9699999999998</v>
      </c>
      <c r="D12" s="1125">
        <v>1785.26</v>
      </c>
      <c r="E12" s="1125">
        <v>409.84</v>
      </c>
      <c r="F12" s="1125">
        <f t="shared" ref="F12:F26" si="1">E12+D12+C12+B12</f>
        <v>5250.29</v>
      </c>
      <c r="G12" s="1125">
        <v>16.16</v>
      </c>
      <c r="H12" s="1125">
        <v>29.94</v>
      </c>
      <c r="I12" s="1125">
        <f t="shared" ref="I12:I43" si="2">G12+H12</f>
        <v>46.1</v>
      </c>
      <c r="J12" s="1125">
        <v>57.09</v>
      </c>
      <c r="K12" s="1125">
        <v>0.38</v>
      </c>
      <c r="L12" s="1125">
        <v>2.0099999999999998</v>
      </c>
      <c r="M12" s="1125">
        <f t="shared" ref="M12:M43" si="3">J12+K12+L12</f>
        <v>59.480000000000004</v>
      </c>
      <c r="N12" s="1125">
        <f>8.17+0.97</f>
        <v>9.14</v>
      </c>
      <c r="O12" s="1125">
        <f t="shared" ref="O12:O23" si="4">N12+M12+I12+F12</f>
        <v>5365.01</v>
      </c>
      <c r="P12" s="1125">
        <v>3261.01</v>
      </c>
      <c r="Q12" s="1125">
        <v>2092.21</v>
      </c>
      <c r="R12" s="1125">
        <f t="shared" ref="R12:R33" si="5">O12-P12</f>
        <v>2104</v>
      </c>
      <c r="S12" s="1125">
        <v>346247.94</v>
      </c>
      <c r="T12" s="1132" t="s">
        <v>576</v>
      </c>
    </row>
    <row r="13" spans="1:22" ht="11.85" customHeight="1">
      <c r="A13" s="1128" t="s">
        <v>577</v>
      </c>
      <c r="B13" s="1124">
        <v>691.98</v>
      </c>
      <c r="C13" s="1124">
        <v>4909.1499999999996</v>
      </c>
      <c r="D13" s="1124">
        <v>3278.11</v>
      </c>
      <c r="E13" s="1124">
        <v>746.5</v>
      </c>
      <c r="F13" s="1124">
        <f t="shared" si="1"/>
        <v>9625.74</v>
      </c>
      <c r="G13" s="1124">
        <v>32.72</v>
      </c>
      <c r="H13" s="1124">
        <v>122.9</v>
      </c>
      <c r="I13" s="1124">
        <f t="shared" si="2"/>
        <v>155.62</v>
      </c>
      <c r="J13" s="1124">
        <v>84.74</v>
      </c>
      <c r="K13" s="1124">
        <v>0.35</v>
      </c>
      <c r="L13" s="1124">
        <v>1.57</v>
      </c>
      <c r="M13" s="1124">
        <f t="shared" si="3"/>
        <v>86.659999999999982</v>
      </c>
      <c r="N13" s="1124">
        <f>10.59+12.89</f>
        <v>23.48</v>
      </c>
      <c r="O13" s="1124">
        <f t="shared" si="4"/>
        <v>9891.5</v>
      </c>
      <c r="P13" s="1124">
        <v>6262.9</v>
      </c>
      <c r="Q13" s="1124">
        <v>2998.87</v>
      </c>
      <c r="R13" s="1124">
        <f t="shared" si="5"/>
        <v>3628.6000000000004</v>
      </c>
      <c r="S13" s="1124">
        <f>R13+S12</f>
        <v>349876.54</v>
      </c>
      <c r="T13" s="1131" t="s">
        <v>577</v>
      </c>
    </row>
    <row r="14" spans="1:22" ht="11.85" customHeight="1">
      <c r="A14" s="1129" t="s">
        <v>571</v>
      </c>
      <c r="B14" s="1125">
        <v>1015.11</v>
      </c>
      <c r="C14" s="1125">
        <v>5622.78</v>
      </c>
      <c r="D14" s="1125">
        <v>3554.91</v>
      </c>
      <c r="E14" s="1125">
        <v>775.67</v>
      </c>
      <c r="F14" s="1125">
        <f t="shared" si="1"/>
        <v>10968.470000000001</v>
      </c>
      <c r="G14" s="1125">
        <v>48.34</v>
      </c>
      <c r="H14" s="1125">
        <v>191.42</v>
      </c>
      <c r="I14" s="1125">
        <f t="shared" si="2"/>
        <v>239.76</v>
      </c>
      <c r="J14" s="1125">
        <v>117.26</v>
      </c>
      <c r="K14" s="1125">
        <v>0.03</v>
      </c>
      <c r="L14" s="1125">
        <v>5.58</v>
      </c>
      <c r="M14" s="1125">
        <f t="shared" si="3"/>
        <v>122.87</v>
      </c>
      <c r="N14" s="1125">
        <f>14.05+4.01</f>
        <v>18.060000000000002</v>
      </c>
      <c r="O14" s="1125">
        <f t="shared" si="4"/>
        <v>11349.160000000002</v>
      </c>
      <c r="P14" s="1125">
        <v>8523.6</v>
      </c>
      <c r="Q14" s="1125">
        <v>3511.39</v>
      </c>
      <c r="R14" s="1125">
        <f t="shared" si="5"/>
        <v>2825.5600000000013</v>
      </c>
      <c r="S14" s="1125">
        <f t="shared" ref="S14:S23" si="6">R14+S13</f>
        <v>352702.1</v>
      </c>
      <c r="T14" s="1132" t="s">
        <v>571</v>
      </c>
    </row>
    <row r="15" spans="1:22" ht="11.85" customHeight="1">
      <c r="A15" s="1128" t="s">
        <v>578</v>
      </c>
      <c r="B15" s="1124">
        <v>628.05999999999995</v>
      </c>
      <c r="C15" s="1124">
        <v>4437.3500000000004</v>
      </c>
      <c r="D15" s="1124">
        <v>2724.27</v>
      </c>
      <c r="E15" s="1124">
        <v>612.28</v>
      </c>
      <c r="F15" s="1124">
        <f t="shared" si="1"/>
        <v>8401.9600000000009</v>
      </c>
      <c r="G15" s="1124">
        <v>40.81</v>
      </c>
      <c r="H15" s="1124">
        <v>178.4</v>
      </c>
      <c r="I15" s="1124">
        <f t="shared" si="2"/>
        <v>219.21</v>
      </c>
      <c r="J15" s="1124">
        <v>80.52</v>
      </c>
      <c r="K15" s="1124">
        <v>0.69</v>
      </c>
      <c r="L15" s="1124">
        <v>5.14</v>
      </c>
      <c r="M15" s="1124">
        <f t="shared" si="3"/>
        <v>86.35</v>
      </c>
      <c r="N15" s="1124">
        <f>10.76+4.43</f>
        <v>15.19</v>
      </c>
      <c r="O15" s="1124">
        <f t="shared" si="4"/>
        <v>8722.7100000000009</v>
      </c>
      <c r="P15" s="1124">
        <v>7956.19</v>
      </c>
      <c r="Q15" s="1124">
        <v>3209.61</v>
      </c>
      <c r="R15" s="1124">
        <f t="shared" si="5"/>
        <v>766.52000000000135</v>
      </c>
      <c r="S15" s="1124">
        <f t="shared" si="6"/>
        <v>353468.62</v>
      </c>
      <c r="T15" s="1131" t="s">
        <v>578</v>
      </c>
    </row>
    <row r="16" spans="1:22" ht="11.85" customHeight="1">
      <c r="A16" s="1129" t="s">
        <v>579</v>
      </c>
      <c r="B16" s="1125">
        <v>606.20000000000005</v>
      </c>
      <c r="C16" s="1125">
        <v>4555.96</v>
      </c>
      <c r="D16" s="1125">
        <v>2747.55</v>
      </c>
      <c r="E16" s="1125">
        <v>638.17999999999995</v>
      </c>
      <c r="F16" s="1125">
        <f t="shared" si="1"/>
        <v>8547.8900000000012</v>
      </c>
      <c r="G16" s="1125">
        <v>42.03</v>
      </c>
      <c r="H16" s="1125">
        <v>221.28</v>
      </c>
      <c r="I16" s="1125">
        <f t="shared" si="2"/>
        <v>263.31</v>
      </c>
      <c r="J16" s="1125">
        <v>100.17</v>
      </c>
      <c r="K16" s="1125">
        <v>0.39</v>
      </c>
      <c r="L16" s="1125">
        <v>3.61</v>
      </c>
      <c r="M16" s="1125">
        <f t="shared" si="3"/>
        <v>104.17</v>
      </c>
      <c r="N16" s="1125">
        <f>11.18+14.84</f>
        <v>26.02</v>
      </c>
      <c r="O16" s="1125">
        <f t="shared" si="4"/>
        <v>8941.3900000000012</v>
      </c>
      <c r="P16" s="1125">
        <v>8240.2900000000009</v>
      </c>
      <c r="Q16" s="1125">
        <v>3499.85</v>
      </c>
      <c r="R16" s="1125">
        <f t="shared" si="5"/>
        <v>701.10000000000036</v>
      </c>
      <c r="S16" s="1125">
        <f t="shared" si="6"/>
        <v>354169.72</v>
      </c>
      <c r="T16" s="1132" t="s">
        <v>579</v>
      </c>
    </row>
    <row r="17" spans="1:20" ht="11.85" customHeight="1">
      <c r="A17" s="1128" t="s">
        <v>572</v>
      </c>
      <c r="B17" s="1124">
        <v>661.48</v>
      </c>
      <c r="C17" s="1124">
        <v>3693.25</v>
      </c>
      <c r="D17" s="1124">
        <v>2156.42</v>
      </c>
      <c r="E17" s="1124">
        <v>510.11</v>
      </c>
      <c r="F17" s="1124">
        <f t="shared" si="1"/>
        <v>7021.26</v>
      </c>
      <c r="G17" s="1124">
        <v>42.82</v>
      </c>
      <c r="H17" s="1124">
        <v>227.7</v>
      </c>
      <c r="I17" s="1124">
        <f t="shared" si="2"/>
        <v>270.52</v>
      </c>
      <c r="J17" s="1124">
        <v>50.26</v>
      </c>
      <c r="K17" s="1124">
        <v>1.08</v>
      </c>
      <c r="L17" s="1124">
        <v>5.42</v>
      </c>
      <c r="M17" s="1124">
        <f t="shared" si="3"/>
        <v>56.76</v>
      </c>
      <c r="N17" s="1124">
        <f>8.88+4.92</f>
        <v>13.8</v>
      </c>
      <c r="O17" s="1124">
        <f>N17+M17+I17+F17</f>
        <v>7362.34</v>
      </c>
      <c r="P17" s="1124">
        <v>7798.29</v>
      </c>
      <c r="Q17" s="1124">
        <v>3706.01</v>
      </c>
      <c r="R17" s="1124">
        <f t="shared" si="5"/>
        <v>-435.94999999999982</v>
      </c>
      <c r="S17" s="1124">
        <f t="shared" si="6"/>
        <v>353733.76999999996</v>
      </c>
      <c r="T17" s="1131" t="s">
        <v>572</v>
      </c>
    </row>
    <row r="18" spans="1:20" ht="11.85" customHeight="1">
      <c r="A18" s="1129" t="s">
        <v>580</v>
      </c>
      <c r="B18" s="1125">
        <v>886.47</v>
      </c>
      <c r="C18" s="1125">
        <v>4934.1400000000003</v>
      </c>
      <c r="D18" s="1125">
        <v>2964.46</v>
      </c>
      <c r="E18" s="1125">
        <v>727.04</v>
      </c>
      <c r="F18" s="1125">
        <f t="shared" si="1"/>
        <v>9512.1099999999988</v>
      </c>
      <c r="G18" s="1125">
        <v>48.87</v>
      </c>
      <c r="H18" s="1125">
        <v>312.02999999999997</v>
      </c>
      <c r="I18" s="1125">
        <f t="shared" si="2"/>
        <v>360.9</v>
      </c>
      <c r="J18" s="1125">
        <v>68.48</v>
      </c>
      <c r="K18" s="1125">
        <v>1.08</v>
      </c>
      <c r="L18" s="1125">
        <v>5.0599999999999996</v>
      </c>
      <c r="M18" s="1125">
        <f t="shared" si="3"/>
        <v>74.62</v>
      </c>
      <c r="N18" s="1125">
        <f>11.94+6.45</f>
        <v>18.39</v>
      </c>
      <c r="O18" s="1125">
        <f t="shared" si="4"/>
        <v>9966.0199999999986</v>
      </c>
      <c r="P18" s="1125">
        <v>7389.3</v>
      </c>
      <c r="Q18" s="1125">
        <v>3339.52</v>
      </c>
      <c r="R18" s="1125">
        <f t="shared" si="5"/>
        <v>2576.7199999999984</v>
      </c>
      <c r="S18" s="1125">
        <f t="shared" si="6"/>
        <v>356310.48999999993</v>
      </c>
      <c r="T18" s="1132" t="s">
        <v>580</v>
      </c>
    </row>
    <row r="19" spans="1:20" ht="11.85" customHeight="1">
      <c r="A19" s="1128" t="s">
        <v>581</v>
      </c>
      <c r="B19" s="1124">
        <v>633.98</v>
      </c>
      <c r="C19" s="1124">
        <v>4798.47</v>
      </c>
      <c r="D19" s="1124">
        <v>2884.24</v>
      </c>
      <c r="E19" s="1124">
        <v>715.59</v>
      </c>
      <c r="F19" s="1124">
        <f t="shared" si="1"/>
        <v>9032.2799999999988</v>
      </c>
      <c r="G19" s="1124">
        <v>41.68</v>
      </c>
      <c r="H19" s="1124">
        <v>296.7</v>
      </c>
      <c r="I19" s="1124">
        <f t="shared" si="2"/>
        <v>338.38</v>
      </c>
      <c r="J19" s="1124">
        <v>56.44</v>
      </c>
      <c r="K19" s="1124">
        <v>0.72</v>
      </c>
      <c r="L19" s="1124">
        <v>5.01</v>
      </c>
      <c r="M19" s="1124">
        <f t="shared" si="3"/>
        <v>62.169999999999995</v>
      </c>
      <c r="N19" s="1124">
        <f>10.64+13.96</f>
        <v>24.6</v>
      </c>
      <c r="O19" s="1124">
        <f t="shared" si="4"/>
        <v>9457.4299999999985</v>
      </c>
      <c r="P19" s="1124">
        <v>6934.52</v>
      </c>
      <c r="Q19" s="1124">
        <v>3176.54</v>
      </c>
      <c r="R19" s="1124">
        <f t="shared" si="5"/>
        <v>2522.909999999998</v>
      </c>
      <c r="S19" s="1124">
        <f t="shared" si="6"/>
        <v>358833.39999999991</v>
      </c>
      <c r="T19" s="1131" t="s">
        <v>581</v>
      </c>
    </row>
    <row r="20" spans="1:20" ht="11.85" customHeight="1">
      <c r="A20" s="1129" t="s">
        <v>573</v>
      </c>
      <c r="B20" s="1125">
        <v>746.01</v>
      </c>
      <c r="C20" s="1125">
        <v>5206.43</v>
      </c>
      <c r="D20" s="1125">
        <v>3009.46</v>
      </c>
      <c r="E20" s="1125">
        <v>849.28</v>
      </c>
      <c r="F20" s="1125">
        <f t="shared" si="1"/>
        <v>9811.18</v>
      </c>
      <c r="G20" s="1125">
        <v>46.89</v>
      </c>
      <c r="H20" s="1125">
        <v>313.73</v>
      </c>
      <c r="I20" s="1125">
        <f t="shared" si="2"/>
        <v>360.62</v>
      </c>
      <c r="J20" s="1125">
        <v>78.83</v>
      </c>
      <c r="K20" s="1125">
        <v>1.5</v>
      </c>
      <c r="L20" s="1125">
        <v>3.57</v>
      </c>
      <c r="M20" s="1125">
        <f t="shared" si="3"/>
        <v>83.899999999999991</v>
      </c>
      <c r="N20" s="1125">
        <f>11.69+3.81</f>
        <v>15.5</v>
      </c>
      <c r="O20" s="1125">
        <f t="shared" si="4"/>
        <v>10271.200000000001</v>
      </c>
      <c r="P20" s="1125">
        <v>8456.49</v>
      </c>
      <c r="Q20" s="1125">
        <v>3800.53</v>
      </c>
      <c r="R20" s="1125">
        <f t="shared" si="5"/>
        <v>1814.7100000000009</v>
      </c>
      <c r="S20" s="1125">
        <f t="shared" si="6"/>
        <v>360648.10999999993</v>
      </c>
      <c r="T20" s="1132" t="s">
        <v>573</v>
      </c>
    </row>
    <row r="21" spans="1:20" ht="11.85" customHeight="1">
      <c r="A21" s="1128" t="s">
        <v>582</v>
      </c>
      <c r="B21" s="1124">
        <v>747.85</v>
      </c>
      <c r="C21" s="1124">
        <v>4028.6</v>
      </c>
      <c r="D21" s="1124">
        <v>2322.37</v>
      </c>
      <c r="E21" s="1124">
        <v>688.39</v>
      </c>
      <c r="F21" s="1124">
        <f t="shared" si="1"/>
        <v>7787.21</v>
      </c>
      <c r="G21" s="1124">
        <v>36.299999999999997</v>
      </c>
      <c r="H21" s="1124">
        <v>244.49</v>
      </c>
      <c r="I21" s="1124">
        <f t="shared" si="2"/>
        <v>280.79000000000002</v>
      </c>
      <c r="J21" s="1124">
        <v>61.76</v>
      </c>
      <c r="K21" s="1124">
        <v>0.97</v>
      </c>
      <c r="L21" s="1124">
        <v>13.39</v>
      </c>
      <c r="M21" s="1124">
        <f t="shared" si="3"/>
        <v>76.12</v>
      </c>
      <c r="N21" s="1124">
        <f>11.07+3.48</f>
        <v>14.55</v>
      </c>
      <c r="O21" s="1124">
        <f t="shared" si="4"/>
        <v>8158.67</v>
      </c>
      <c r="P21" s="1124">
        <v>7144.03</v>
      </c>
      <c r="Q21" s="1124">
        <v>3116.34</v>
      </c>
      <c r="R21" s="1124">
        <f t="shared" si="5"/>
        <v>1014.6400000000003</v>
      </c>
      <c r="S21" s="1124">
        <f t="shared" si="6"/>
        <v>361662.74999999994</v>
      </c>
      <c r="T21" s="1131" t="s">
        <v>582</v>
      </c>
    </row>
    <row r="22" spans="1:20" ht="11.85" customHeight="1">
      <c r="A22" s="1129" t="s">
        <v>583</v>
      </c>
      <c r="B22" s="1125">
        <v>887.08</v>
      </c>
      <c r="C22" s="1125">
        <v>3664.3</v>
      </c>
      <c r="D22" s="1125">
        <v>2254.9699999999998</v>
      </c>
      <c r="E22" s="1125">
        <v>659.36</v>
      </c>
      <c r="F22" s="1125">
        <f t="shared" si="1"/>
        <v>7465.71</v>
      </c>
      <c r="G22" s="1125">
        <v>36.24</v>
      </c>
      <c r="H22" s="1125">
        <v>285.29000000000002</v>
      </c>
      <c r="I22" s="1125">
        <f t="shared" si="2"/>
        <v>321.53000000000003</v>
      </c>
      <c r="J22" s="1125">
        <v>54.66</v>
      </c>
      <c r="K22" s="1125">
        <v>2.69</v>
      </c>
      <c r="L22" s="1125">
        <v>7.87</v>
      </c>
      <c r="M22" s="1125">
        <f t="shared" si="3"/>
        <v>65.22</v>
      </c>
      <c r="N22" s="1125">
        <f>0.01+12.5</f>
        <v>12.51</v>
      </c>
      <c r="O22" s="1125">
        <f t="shared" si="4"/>
        <v>7864.97</v>
      </c>
      <c r="P22" s="1125">
        <v>7226.29</v>
      </c>
      <c r="Q22" s="1125">
        <v>3577.04</v>
      </c>
      <c r="R22" s="1125">
        <f>O22-P22</f>
        <v>638.68000000000029</v>
      </c>
      <c r="S22" s="1125">
        <f t="shared" si="6"/>
        <v>362301.42999999993</v>
      </c>
      <c r="T22" s="1132" t="s">
        <v>583</v>
      </c>
    </row>
    <row r="23" spans="1:20" ht="11.85" customHeight="1">
      <c r="A23" s="1128" t="s">
        <v>574</v>
      </c>
      <c r="B23" s="1124">
        <v>1291.99</v>
      </c>
      <c r="C23" s="1124">
        <v>4810.6499999999996</v>
      </c>
      <c r="D23" s="1124">
        <v>3317.49</v>
      </c>
      <c r="E23" s="1124">
        <v>807.87</v>
      </c>
      <c r="F23" s="1124">
        <f t="shared" si="1"/>
        <v>10227.999999999998</v>
      </c>
      <c r="G23" s="1124">
        <v>43.42</v>
      </c>
      <c r="H23" s="1124">
        <v>318.43</v>
      </c>
      <c r="I23" s="1124">
        <f t="shared" si="2"/>
        <v>361.85</v>
      </c>
      <c r="J23" s="1124">
        <v>56.08</v>
      </c>
      <c r="K23" s="1124">
        <v>5.15</v>
      </c>
      <c r="L23" s="1124">
        <v>43.48</v>
      </c>
      <c r="M23" s="1124">
        <f t="shared" si="3"/>
        <v>104.71</v>
      </c>
      <c r="N23" s="1124">
        <f>12.28+4.97</f>
        <v>17.25</v>
      </c>
      <c r="O23" s="1124">
        <f t="shared" si="4"/>
        <v>10711.809999999998</v>
      </c>
      <c r="P23" s="1124">
        <v>8962.19</v>
      </c>
      <c r="Q23" s="1124">
        <v>3980.39</v>
      </c>
      <c r="R23" s="1124">
        <f t="shared" si="5"/>
        <v>1749.6199999999972</v>
      </c>
      <c r="S23" s="1124">
        <f t="shared" si="6"/>
        <v>364051.04999999993</v>
      </c>
      <c r="T23" s="1131" t="s">
        <v>574</v>
      </c>
    </row>
    <row r="24" spans="1:20" ht="13.5" customHeight="1">
      <c r="A24" s="1127" t="s">
        <v>2353</v>
      </c>
      <c r="B24" s="1123">
        <f>SUM(B25:B36)</f>
        <v>4398.8500000000004</v>
      </c>
      <c r="C24" s="1123">
        <f t="shared" ref="C24:N24" si="7">SUM(C25:C36)</f>
        <v>38117.1</v>
      </c>
      <c r="D24" s="1123">
        <f t="shared" si="7"/>
        <v>24674.29</v>
      </c>
      <c r="E24" s="1123">
        <f t="shared" si="7"/>
        <v>7424.8499999999995</v>
      </c>
      <c r="F24" s="1123">
        <f t="shared" si="7"/>
        <v>74615.090000000011</v>
      </c>
      <c r="G24" s="1123">
        <f t="shared" si="7"/>
        <v>514.68999999999994</v>
      </c>
      <c r="H24" s="1123">
        <f t="shared" si="7"/>
        <v>4324.3</v>
      </c>
      <c r="I24" s="1123">
        <f t="shared" si="7"/>
        <v>4838.99</v>
      </c>
      <c r="J24" s="1123">
        <f t="shared" si="7"/>
        <v>707.97</v>
      </c>
      <c r="K24" s="1123">
        <f t="shared" si="7"/>
        <v>91.539999999999978</v>
      </c>
      <c r="L24" s="1123">
        <f t="shared" si="7"/>
        <v>373</v>
      </c>
      <c r="M24" s="1123">
        <f t="shared" si="7"/>
        <v>1172.5100000000002</v>
      </c>
      <c r="N24" s="1123">
        <f t="shared" si="7"/>
        <v>232.01999999999998</v>
      </c>
      <c r="O24" s="1123">
        <f>SUM(O25:O36)</f>
        <v>80858.61</v>
      </c>
      <c r="P24" s="1123">
        <f t="shared" ref="P24" si="8">SUM(P25:P36)</f>
        <v>84154.565099999993</v>
      </c>
      <c r="Q24" s="1123">
        <f>SUM(Q25:Q36)</f>
        <v>44799.746200000001</v>
      </c>
      <c r="R24" s="1123">
        <f t="shared" ref="R24" si="9">SUM(R25:R36)</f>
        <v>-3295.9550999999992</v>
      </c>
      <c r="S24" s="1123">
        <f>S36</f>
        <v>360755.09489999991</v>
      </c>
      <c r="T24" s="1130" t="s">
        <v>2353</v>
      </c>
    </row>
    <row r="25" spans="1:20" ht="11.85" customHeight="1">
      <c r="A25" s="1128" t="s">
        <v>576</v>
      </c>
      <c r="B25" s="1124">
        <v>737.77</v>
      </c>
      <c r="C25" s="1124">
        <v>3151.28</v>
      </c>
      <c r="D25" s="1124">
        <v>2030.08</v>
      </c>
      <c r="E25" s="1124">
        <v>601.25</v>
      </c>
      <c r="F25" s="1124">
        <f t="shared" si="1"/>
        <v>6520.380000000001</v>
      </c>
      <c r="G25" s="1124">
        <v>53.48</v>
      </c>
      <c r="H25" s="1124">
        <v>336.42</v>
      </c>
      <c r="I25" s="1124">
        <f t="shared" si="2"/>
        <v>389.90000000000003</v>
      </c>
      <c r="J25" s="1124">
        <v>56.56</v>
      </c>
      <c r="K25" s="1124">
        <v>5.3</v>
      </c>
      <c r="L25" s="1124">
        <v>29.84</v>
      </c>
      <c r="M25" s="1124">
        <f t="shared" si="3"/>
        <v>91.7</v>
      </c>
      <c r="N25" s="1124">
        <f>10.79+5.66</f>
        <v>16.45</v>
      </c>
      <c r="O25" s="1124">
        <f>N25+M25+I25+F25</f>
        <v>7018.4300000000012</v>
      </c>
      <c r="P25" s="1124">
        <v>6625.32</v>
      </c>
      <c r="Q25" s="1124">
        <v>3437</v>
      </c>
      <c r="R25" s="1124">
        <f t="shared" si="5"/>
        <v>393.11000000000149</v>
      </c>
      <c r="S25" s="1124">
        <f>R25+S23</f>
        <v>364444.15999999992</v>
      </c>
      <c r="T25" s="1131" t="s">
        <v>576</v>
      </c>
    </row>
    <row r="26" spans="1:20" ht="11.85" customHeight="1">
      <c r="A26" s="1129" t="s">
        <v>577</v>
      </c>
      <c r="B26" s="1125">
        <v>386.7</v>
      </c>
      <c r="C26" s="1125">
        <v>3577.52</v>
      </c>
      <c r="D26" s="1125">
        <v>2227.79</v>
      </c>
      <c r="E26" s="1125">
        <v>751.93</v>
      </c>
      <c r="F26" s="1125">
        <f t="shared" si="1"/>
        <v>6943.94</v>
      </c>
      <c r="G26" s="1125">
        <v>48.07</v>
      </c>
      <c r="H26" s="1125">
        <v>387.23</v>
      </c>
      <c r="I26" s="1125">
        <f t="shared" si="2"/>
        <v>435.3</v>
      </c>
      <c r="J26" s="1125">
        <v>69.47</v>
      </c>
      <c r="K26" s="1125">
        <v>42.16</v>
      </c>
      <c r="L26" s="1125">
        <v>3.91</v>
      </c>
      <c r="M26" s="1125">
        <f t="shared" si="3"/>
        <v>115.53999999999999</v>
      </c>
      <c r="N26" s="1125">
        <f>10.67+14.24</f>
        <v>24.91</v>
      </c>
      <c r="O26" s="1125">
        <f>N26+M26+I26+F26</f>
        <v>7519.69</v>
      </c>
      <c r="P26" s="1125">
        <v>7511.61</v>
      </c>
      <c r="Q26" s="1125">
        <v>3813.79</v>
      </c>
      <c r="R26" s="1125">
        <f t="shared" si="5"/>
        <v>8.0799999999999272</v>
      </c>
      <c r="S26" s="1125">
        <f>R26+S25</f>
        <v>364452.23999999993</v>
      </c>
      <c r="T26" s="1132" t="s">
        <v>577</v>
      </c>
    </row>
    <row r="27" spans="1:20" ht="11.85" customHeight="1">
      <c r="A27" s="1128" t="s">
        <v>571</v>
      </c>
      <c r="B27" s="1124">
        <v>306.93</v>
      </c>
      <c r="C27" s="1124">
        <v>3347.75</v>
      </c>
      <c r="D27" s="1124">
        <v>2129.31</v>
      </c>
      <c r="E27" s="1124">
        <v>661.57</v>
      </c>
      <c r="F27" s="1124">
        <f t="shared" ref="F27:F43" si="10">E27+D27+C27+B27</f>
        <v>6445.56</v>
      </c>
      <c r="G27" s="1124">
        <v>48.08</v>
      </c>
      <c r="H27" s="1124">
        <v>370.39</v>
      </c>
      <c r="I27" s="1124">
        <f t="shared" si="2"/>
        <v>418.46999999999997</v>
      </c>
      <c r="J27" s="1124">
        <v>60.23</v>
      </c>
      <c r="K27" s="1124">
        <v>7.66</v>
      </c>
      <c r="L27" s="1124">
        <v>26</v>
      </c>
      <c r="M27" s="1124">
        <f t="shared" si="3"/>
        <v>93.89</v>
      </c>
      <c r="N27" s="1124">
        <f>10.38+4.92</f>
        <v>15.3</v>
      </c>
      <c r="O27" s="1124">
        <f>N27+M27+I27+F27</f>
        <v>6973.22</v>
      </c>
      <c r="P27" s="1124">
        <v>7043.86</v>
      </c>
      <c r="Q27" s="1124">
        <v>4797.8599999999997</v>
      </c>
      <c r="R27" s="1124">
        <f t="shared" si="5"/>
        <v>-70.639999999999418</v>
      </c>
      <c r="S27" s="1124">
        <f>R27+S26</f>
        <v>364381.59999999992</v>
      </c>
      <c r="T27" s="1131" t="s">
        <v>571</v>
      </c>
    </row>
    <row r="28" spans="1:20" ht="11.85" customHeight="1">
      <c r="A28" s="1129" t="s">
        <v>578</v>
      </c>
      <c r="B28" s="1125">
        <v>270.82</v>
      </c>
      <c r="C28" s="1125">
        <v>3199.66</v>
      </c>
      <c r="D28" s="1125">
        <v>1972.25</v>
      </c>
      <c r="E28" s="1125">
        <v>600.02</v>
      </c>
      <c r="F28" s="1125">
        <f t="shared" si="10"/>
        <v>6042.75</v>
      </c>
      <c r="G28" s="1125">
        <v>45.4</v>
      </c>
      <c r="H28" s="1125">
        <v>352.57</v>
      </c>
      <c r="I28" s="1125">
        <f t="shared" si="2"/>
        <v>397.96999999999997</v>
      </c>
      <c r="J28" s="1125">
        <v>49.01</v>
      </c>
      <c r="K28" s="1125">
        <v>5.8</v>
      </c>
      <c r="L28" s="1125">
        <v>22.14</v>
      </c>
      <c r="M28" s="1125">
        <f t="shared" si="3"/>
        <v>76.949999999999989</v>
      </c>
      <c r="N28" s="1125">
        <f>10.19+5.31</f>
        <v>15.5</v>
      </c>
      <c r="O28" s="1125">
        <f>F28+I28+M28+N28</f>
        <v>6533.17</v>
      </c>
      <c r="P28" s="1125">
        <v>7496.33</v>
      </c>
      <c r="Q28" s="1125">
        <v>3844.79</v>
      </c>
      <c r="R28" s="1125">
        <f t="shared" si="5"/>
        <v>-963.15999999999985</v>
      </c>
      <c r="S28" s="1125">
        <f>R28+S27</f>
        <v>363418.43999999994</v>
      </c>
      <c r="T28" s="1132" t="s">
        <v>578</v>
      </c>
    </row>
    <row r="29" spans="1:20" ht="11.85" customHeight="1">
      <c r="A29" s="1010" t="s">
        <v>579</v>
      </c>
      <c r="B29" s="1124">
        <v>276.22000000000003</v>
      </c>
      <c r="C29" s="1124">
        <v>3373.09</v>
      </c>
      <c r="D29" s="1124">
        <v>2017.23</v>
      </c>
      <c r="E29" s="1124">
        <v>667.42</v>
      </c>
      <c r="F29" s="1124">
        <f t="shared" si="10"/>
        <v>6333.96</v>
      </c>
      <c r="G29" s="1124">
        <v>47.7</v>
      </c>
      <c r="H29" s="1124">
        <v>392.24</v>
      </c>
      <c r="I29" s="1124">
        <f t="shared" si="2"/>
        <v>439.94</v>
      </c>
      <c r="J29" s="1124">
        <v>53.81</v>
      </c>
      <c r="K29" s="1124">
        <v>2.65</v>
      </c>
      <c r="L29" s="1124">
        <v>31.13</v>
      </c>
      <c r="M29" s="1124">
        <f t="shared" si="3"/>
        <v>87.59</v>
      </c>
      <c r="N29" s="1124">
        <f>9.91+13.53</f>
        <v>23.439999999999998</v>
      </c>
      <c r="O29" s="1124">
        <f>F29+I29+N29+M29</f>
        <v>6884.9299999999994</v>
      </c>
      <c r="P29" s="1124">
        <v>7868.25</v>
      </c>
      <c r="Q29" s="1124">
        <v>3796.75</v>
      </c>
      <c r="R29" s="1124">
        <f t="shared" si="5"/>
        <v>-983.32000000000062</v>
      </c>
      <c r="S29" s="1124">
        <f t="shared" ref="S29:S35" si="11">R29+S28</f>
        <v>362435.11999999994</v>
      </c>
      <c r="T29" s="1464" t="s">
        <v>579</v>
      </c>
    </row>
    <row r="30" spans="1:20" ht="11.85" customHeight="1">
      <c r="A30" s="1129" t="s">
        <v>572</v>
      </c>
      <c r="B30" s="1125">
        <v>240.31</v>
      </c>
      <c r="C30" s="1125">
        <v>2664.09</v>
      </c>
      <c r="D30" s="1125">
        <v>1634.75</v>
      </c>
      <c r="E30" s="1125">
        <v>524.72</v>
      </c>
      <c r="F30" s="1125">
        <f t="shared" si="10"/>
        <v>5063.8700000000008</v>
      </c>
      <c r="G30" s="1125">
        <v>42.75</v>
      </c>
      <c r="H30" s="1125">
        <v>342.03</v>
      </c>
      <c r="I30" s="1125">
        <f t="shared" si="2"/>
        <v>384.78</v>
      </c>
      <c r="J30" s="1125">
        <v>45.65</v>
      </c>
      <c r="K30" s="1125">
        <v>5.81</v>
      </c>
      <c r="L30" s="1125">
        <v>24.88</v>
      </c>
      <c r="M30" s="1125">
        <f t="shared" si="3"/>
        <v>76.34</v>
      </c>
      <c r="N30" s="1125">
        <f>10.63+6.75</f>
        <v>17.380000000000003</v>
      </c>
      <c r="O30" s="1125">
        <f t="shared" ref="O30:O35" si="12">F30+I30+N30+M30</f>
        <v>5542.3700000000008</v>
      </c>
      <c r="P30" s="1125">
        <v>7033.31</v>
      </c>
      <c r="Q30" s="1125">
        <v>3799.34</v>
      </c>
      <c r="R30" s="1125">
        <f t="shared" si="5"/>
        <v>-1490.9399999999996</v>
      </c>
      <c r="S30" s="1125">
        <f t="shared" si="11"/>
        <v>360944.17999999993</v>
      </c>
      <c r="T30" s="1132" t="s">
        <v>572</v>
      </c>
    </row>
    <row r="31" spans="1:20" ht="11.85" customHeight="1">
      <c r="A31" s="1128" t="s">
        <v>580</v>
      </c>
      <c r="B31" s="1124">
        <v>357.71</v>
      </c>
      <c r="C31" s="1124">
        <v>3967.87</v>
      </c>
      <c r="D31" s="1124">
        <v>2502.23</v>
      </c>
      <c r="E31" s="1124">
        <v>776.28</v>
      </c>
      <c r="F31" s="1124">
        <f t="shared" si="10"/>
        <v>7604.09</v>
      </c>
      <c r="G31" s="1124">
        <v>49.82</v>
      </c>
      <c r="H31" s="1124">
        <v>474.84</v>
      </c>
      <c r="I31" s="1124">
        <f t="shared" si="2"/>
        <v>524.66</v>
      </c>
      <c r="J31" s="1124">
        <v>77.819999999999993</v>
      </c>
      <c r="K31" s="1124">
        <v>6.14</v>
      </c>
      <c r="L31" s="1124">
        <v>52.97</v>
      </c>
      <c r="M31" s="1124">
        <f t="shared" si="3"/>
        <v>136.93</v>
      </c>
      <c r="N31" s="1124">
        <f>11.11+8.17</f>
        <v>19.28</v>
      </c>
      <c r="O31" s="1124">
        <f t="shared" si="12"/>
        <v>8284.9599999999991</v>
      </c>
      <c r="P31" s="1124">
        <v>8247.5400000000009</v>
      </c>
      <c r="Q31" s="1124">
        <v>3943.41</v>
      </c>
      <c r="R31" s="1124">
        <f t="shared" si="5"/>
        <v>37.419999999998254</v>
      </c>
      <c r="S31" s="1124">
        <f t="shared" si="11"/>
        <v>360981.59999999992</v>
      </c>
      <c r="T31" s="1131" t="s">
        <v>580</v>
      </c>
    </row>
    <row r="32" spans="1:20" ht="11.85" customHeight="1">
      <c r="A32" s="1129" t="s">
        <v>581</v>
      </c>
      <c r="B32" s="1125">
        <v>317.87</v>
      </c>
      <c r="C32" s="1125">
        <v>3373</v>
      </c>
      <c r="D32" s="1125">
        <v>2170.58</v>
      </c>
      <c r="E32" s="1125">
        <v>663.23</v>
      </c>
      <c r="F32" s="1125">
        <f t="shared" si="10"/>
        <v>6524.6799999999994</v>
      </c>
      <c r="G32" s="1125">
        <v>40.130000000000003</v>
      </c>
      <c r="H32" s="1125">
        <v>410.39</v>
      </c>
      <c r="I32" s="1125">
        <f t="shared" si="2"/>
        <v>450.52</v>
      </c>
      <c r="J32" s="1125">
        <v>65.959999999999994</v>
      </c>
      <c r="K32" s="1125">
        <v>2.63</v>
      </c>
      <c r="L32" s="1125">
        <v>34.74</v>
      </c>
      <c r="M32" s="1125">
        <f t="shared" si="3"/>
        <v>103.32999999999998</v>
      </c>
      <c r="N32" s="1125">
        <f>13.87+12.94</f>
        <v>26.81</v>
      </c>
      <c r="O32" s="1125">
        <f t="shared" si="12"/>
        <v>7105.3399999999992</v>
      </c>
      <c r="P32" s="1125">
        <v>7545.42</v>
      </c>
      <c r="Q32" s="1125">
        <v>3671.19</v>
      </c>
      <c r="R32" s="1125">
        <f t="shared" si="5"/>
        <v>-440.08000000000084</v>
      </c>
      <c r="S32" s="1125">
        <f t="shared" si="11"/>
        <v>360541.5199999999</v>
      </c>
      <c r="T32" s="1132" t="s">
        <v>581</v>
      </c>
    </row>
    <row r="33" spans="1:22" ht="11.85" customHeight="1">
      <c r="A33" s="1128" t="s">
        <v>573</v>
      </c>
      <c r="B33" s="1124">
        <v>284.95999999999998</v>
      </c>
      <c r="C33" s="1124">
        <v>3200.32</v>
      </c>
      <c r="D33" s="1124">
        <v>2128.58</v>
      </c>
      <c r="E33" s="1124">
        <v>633.11</v>
      </c>
      <c r="F33" s="1124">
        <f t="shared" si="10"/>
        <v>6246.97</v>
      </c>
      <c r="G33" s="1124">
        <v>37.299999999999997</v>
      </c>
      <c r="H33" s="1124">
        <v>368.76</v>
      </c>
      <c r="I33" s="1124">
        <f t="shared" si="2"/>
        <v>406.06</v>
      </c>
      <c r="J33" s="1124">
        <v>65.680000000000007</v>
      </c>
      <c r="K33" s="1124">
        <v>1.95</v>
      </c>
      <c r="L33" s="1124">
        <v>59.75</v>
      </c>
      <c r="M33" s="1124">
        <f t="shared" si="3"/>
        <v>127.38000000000001</v>
      </c>
      <c r="N33" s="1124">
        <f>9.58+5.4</f>
        <v>14.98</v>
      </c>
      <c r="O33" s="1124">
        <f t="shared" si="12"/>
        <v>6795.39</v>
      </c>
      <c r="P33" s="1124">
        <v>7447.45</v>
      </c>
      <c r="Q33" s="1124">
        <v>3909.56</v>
      </c>
      <c r="R33" s="1124">
        <f t="shared" si="5"/>
        <v>-652.05999999999949</v>
      </c>
      <c r="S33" s="1124">
        <f t="shared" si="11"/>
        <v>359889.4599999999</v>
      </c>
      <c r="T33" s="1131" t="s">
        <v>573</v>
      </c>
    </row>
    <row r="34" spans="1:22" ht="11.85" customHeight="1">
      <c r="A34" s="1129" t="s">
        <v>582</v>
      </c>
      <c r="B34" s="1125">
        <v>260.55</v>
      </c>
      <c r="C34" s="1125">
        <v>2623.93</v>
      </c>
      <c r="D34" s="1125">
        <v>1560.96</v>
      </c>
      <c r="E34" s="1125">
        <v>536.29</v>
      </c>
      <c r="F34" s="1125">
        <f t="shared" si="10"/>
        <v>4981.7300000000005</v>
      </c>
      <c r="G34" s="1125">
        <v>33.909999999999997</v>
      </c>
      <c r="H34" s="1125">
        <v>277.89</v>
      </c>
      <c r="I34" s="1125">
        <f t="shared" si="2"/>
        <v>311.79999999999995</v>
      </c>
      <c r="J34" s="1125">
        <v>54.65</v>
      </c>
      <c r="K34" s="1125">
        <v>1.69</v>
      </c>
      <c r="L34" s="1125">
        <v>17.75</v>
      </c>
      <c r="M34" s="1125">
        <f t="shared" si="3"/>
        <v>74.09</v>
      </c>
      <c r="N34" s="1125">
        <f>10.03+3.58</f>
        <v>13.61</v>
      </c>
      <c r="O34" s="1125">
        <f t="shared" si="12"/>
        <v>5381.2300000000005</v>
      </c>
      <c r="P34" s="1125">
        <v>4799.4399999999996</v>
      </c>
      <c r="Q34" s="1125">
        <v>3252.3</v>
      </c>
      <c r="R34" s="1125">
        <f t="shared" ref="R34:R35" si="13">O34-P34</f>
        <v>581.79000000000087</v>
      </c>
      <c r="S34" s="1125">
        <f t="shared" si="11"/>
        <v>360471.24999999988</v>
      </c>
      <c r="T34" s="1132" t="s">
        <v>582</v>
      </c>
    </row>
    <row r="35" spans="1:22" ht="11.85" customHeight="1">
      <c r="A35" s="1128" t="s">
        <v>583</v>
      </c>
      <c r="B35" s="1124">
        <v>369.25</v>
      </c>
      <c r="C35" s="1124">
        <v>3191.92</v>
      </c>
      <c r="D35" s="1124">
        <v>1987.77</v>
      </c>
      <c r="E35" s="1124">
        <v>588.65</v>
      </c>
      <c r="F35" s="1124">
        <f t="shared" si="10"/>
        <v>6137.59</v>
      </c>
      <c r="G35" s="1124">
        <v>38.380000000000003</v>
      </c>
      <c r="H35" s="1124">
        <v>356.63</v>
      </c>
      <c r="I35" s="1124">
        <f t="shared" si="2"/>
        <v>395.01</v>
      </c>
      <c r="J35" s="1124">
        <v>60.69</v>
      </c>
      <c r="K35" s="1124">
        <v>7.72</v>
      </c>
      <c r="L35" s="1124">
        <v>49.21</v>
      </c>
      <c r="M35" s="1124">
        <f t="shared" si="3"/>
        <v>117.62</v>
      </c>
      <c r="N35" s="1124">
        <f>13.09+16.9</f>
        <v>29.99</v>
      </c>
      <c r="O35" s="1124">
        <f t="shared" si="12"/>
        <v>6680.21</v>
      </c>
      <c r="P35" s="1124">
        <v>6129.14</v>
      </c>
      <c r="Q35" s="1124">
        <v>3523.05</v>
      </c>
      <c r="R35" s="1124">
        <f t="shared" si="13"/>
        <v>551.06999999999971</v>
      </c>
      <c r="S35" s="1124">
        <f t="shared" si="11"/>
        <v>361022.31999999989</v>
      </c>
      <c r="T35" s="1131" t="s">
        <v>583</v>
      </c>
    </row>
    <row r="36" spans="1:22" ht="11.85" customHeight="1">
      <c r="A36" s="1129" t="s">
        <v>574</v>
      </c>
      <c r="B36" s="1125">
        <v>589.76</v>
      </c>
      <c r="C36" s="1125">
        <v>2446.67</v>
      </c>
      <c r="D36" s="1125">
        <v>2312.7600000000002</v>
      </c>
      <c r="E36" s="1125">
        <v>420.38</v>
      </c>
      <c r="F36" s="1125">
        <f t="shared" si="10"/>
        <v>5769.5700000000006</v>
      </c>
      <c r="G36" s="1125">
        <v>29.67</v>
      </c>
      <c r="H36" s="1125">
        <v>254.91</v>
      </c>
      <c r="I36" s="1125">
        <f t="shared" si="2"/>
        <v>284.58</v>
      </c>
      <c r="J36" s="1125">
        <v>48.44</v>
      </c>
      <c r="K36" s="1125">
        <v>2.0299999999999998</v>
      </c>
      <c r="L36" s="1125">
        <v>20.68</v>
      </c>
      <c r="M36" s="1125">
        <f t="shared" si="3"/>
        <v>71.150000000000006</v>
      </c>
      <c r="N36" s="1125">
        <f>11.66+2.71</f>
        <v>14.370000000000001</v>
      </c>
      <c r="O36" s="1125">
        <f t="shared" ref="O36:O43" si="14">F36+I36+N36+M36</f>
        <v>6139.67</v>
      </c>
      <c r="P36" s="1125">
        <v>6406.8950999999997</v>
      </c>
      <c r="Q36" s="1125">
        <v>3010.7062000000001</v>
      </c>
      <c r="R36" s="1125">
        <f t="shared" ref="R36:R38" si="15">O36-P36</f>
        <v>-267.22509999999966</v>
      </c>
      <c r="S36" s="1125">
        <f>R36+S35</f>
        <v>360755.09489999991</v>
      </c>
      <c r="T36" s="1132" t="s">
        <v>574</v>
      </c>
    </row>
    <row r="37" spans="1:22" s="190" customFormat="1" ht="13.5" customHeight="1">
      <c r="A37" s="1135" t="s">
        <v>2524</v>
      </c>
      <c r="B37" s="1124"/>
      <c r="C37" s="1124"/>
      <c r="D37" s="1124"/>
      <c r="E37" s="1124"/>
      <c r="F37" s="1124"/>
      <c r="G37" s="1124"/>
      <c r="H37" s="1124"/>
      <c r="I37" s="1124"/>
      <c r="J37" s="1124"/>
      <c r="K37" s="1124"/>
      <c r="L37" s="1124"/>
      <c r="M37" s="1124"/>
      <c r="N37" s="1124"/>
      <c r="O37" s="1124"/>
      <c r="P37" s="1124"/>
      <c r="Q37" s="1124"/>
      <c r="R37" s="1124"/>
      <c r="S37" s="1124"/>
      <c r="T37" s="1136" t="s">
        <v>2524</v>
      </c>
    </row>
    <row r="38" spans="1:22" ht="11.85" customHeight="1">
      <c r="A38" s="1129" t="s">
        <v>576</v>
      </c>
      <c r="B38" s="1125">
        <v>358.31</v>
      </c>
      <c r="C38" s="1125">
        <v>3449.09</v>
      </c>
      <c r="D38" s="1125">
        <v>2754.65</v>
      </c>
      <c r="E38" s="1125">
        <v>623.54999999999995</v>
      </c>
      <c r="F38" s="1125">
        <f t="shared" si="10"/>
        <v>7185.6</v>
      </c>
      <c r="G38" s="1125">
        <v>60.96</v>
      </c>
      <c r="H38" s="1125">
        <v>478.23</v>
      </c>
      <c r="I38" s="1125">
        <f t="shared" si="2"/>
        <v>539.19000000000005</v>
      </c>
      <c r="J38" s="1125">
        <v>84.83</v>
      </c>
      <c r="K38" s="1125">
        <v>6.34</v>
      </c>
      <c r="L38" s="1125">
        <v>21.44</v>
      </c>
      <c r="M38" s="1125">
        <f t="shared" si="3"/>
        <v>112.61</v>
      </c>
      <c r="N38" s="1125">
        <f>13.45+9.81</f>
        <v>23.259999999999998</v>
      </c>
      <c r="O38" s="1125">
        <f t="shared" si="14"/>
        <v>7860.6600000000008</v>
      </c>
      <c r="P38" s="1125">
        <v>8208.24</v>
      </c>
      <c r="Q38" s="1125">
        <v>3996.7</v>
      </c>
      <c r="R38" s="1125">
        <f t="shared" si="15"/>
        <v>-347.57999999999902</v>
      </c>
      <c r="S38" s="1125">
        <f>R38+S36</f>
        <v>360407.51489999989</v>
      </c>
      <c r="T38" s="1132" t="s">
        <v>576</v>
      </c>
      <c r="V38" s="1430"/>
    </row>
    <row r="39" spans="1:22" ht="11.85" customHeight="1">
      <c r="A39" s="1128" t="s">
        <v>577</v>
      </c>
      <c r="B39" s="1124">
        <v>292.5</v>
      </c>
      <c r="C39" s="1124">
        <v>3101.37</v>
      </c>
      <c r="D39" s="1124">
        <v>2482.63</v>
      </c>
      <c r="E39" s="1124">
        <v>585.36</v>
      </c>
      <c r="F39" s="1124">
        <f t="shared" si="10"/>
        <v>6461.8600000000006</v>
      </c>
      <c r="G39" s="1124">
        <v>47.04</v>
      </c>
      <c r="H39" s="1124">
        <v>393.87</v>
      </c>
      <c r="I39" s="1124">
        <f t="shared" si="2"/>
        <v>440.91</v>
      </c>
      <c r="J39" s="1124">
        <v>70.14</v>
      </c>
      <c r="K39" s="1124">
        <v>6.27</v>
      </c>
      <c r="L39" s="1124">
        <v>38.869999999999997</v>
      </c>
      <c r="M39" s="1124">
        <f t="shared" si="3"/>
        <v>115.28</v>
      </c>
      <c r="N39" s="1124">
        <f>13.27+18.28</f>
        <v>31.55</v>
      </c>
      <c r="O39" s="1124">
        <f t="shared" si="14"/>
        <v>7049.6</v>
      </c>
      <c r="P39" s="1124">
        <v>7819.11</v>
      </c>
      <c r="Q39" s="1124">
        <v>3496.48</v>
      </c>
      <c r="R39" s="1124">
        <f t="shared" ref="R39" si="16">O39-P39</f>
        <v>-769.50999999999931</v>
      </c>
      <c r="S39" s="1124">
        <f>R39+S38</f>
        <v>359638.00489999988</v>
      </c>
      <c r="T39" s="1131" t="s">
        <v>577</v>
      </c>
      <c r="V39" s="1430"/>
    </row>
    <row r="40" spans="1:22" ht="11.85" customHeight="1">
      <c r="A40" s="1129" t="s">
        <v>571</v>
      </c>
      <c r="B40" s="1125">
        <v>250.49</v>
      </c>
      <c r="C40" s="1125">
        <v>3019.57</v>
      </c>
      <c r="D40" s="1125">
        <v>2408.44</v>
      </c>
      <c r="E40" s="1125">
        <v>553.4</v>
      </c>
      <c r="F40" s="1125">
        <f t="shared" si="10"/>
        <v>6231.9</v>
      </c>
      <c r="G40" s="1125">
        <v>38.9</v>
      </c>
      <c r="H40" s="1125">
        <v>360.96</v>
      </c>
      <c r="I40" s="1125">
        <f t="shared" si="2"/>
        <v>399.85999999999996</v>
      </c>
      <c r="J40" s="1125">
        <v>51.35</v>
      </c>
      <c r="K40" s="1125">
        <v>0.64</v>
      </c>
      <c r="L40" s="1125">
        <v>49.14</v>
      </c>
      <c r="M40" s="1125">
        <f t="shared" si="3"/>
        <v>101.13</v>
      </c>
      <c r="N40" s="1125">
        <f>9.6+3.3</f>
        <v>12.899999999999999</v>
      </c>
      <c r="O40" s="1125">
        <f t="shared" si="14"/>
        <v>6745.7899999999991</v>
      </c>
      <c r="P40" s="1125">
        <v>6893.64</v>
      </c>
      <c r="Q40" s="1125">
        <v>3340.18</v>
      </c>
      <c r="R40" s="1125">
        <f>O40-P40</f>
        <v>-147.85000000000127</v>
      </c>
      <c r="S40" s="1125">
        <f>R40+S39</f>
        <v>359490.15489999991</v>
      </c>
      <c r="T40" s="1132" t="s">
        <v>571</v>
      </c>
      <c r="V40" s="1430"/>
    </row>
    <row r="41" spans="1:22" ht="11.85" customHeight="1">
      <c r="A41" s="1128" t="s">
        <v>578</v>
      </c>
      <c r="B41" s="1124">
        <v>263.41000000000003</v>
      </c>
      <c r="C41" s="1124">
        <v>3316.35</v>
      </c>
      <c r="D41" s="1124">
        <v>2672.5</v>
      </c>
      <c r="E41" s="1124">
        <v>610.37</v>
      </c>
      <c r="F41" s="1124">
        <f t="shared" si="10"/>
        <v>6862.6299999999992</v>
      </c>
      <c r="G41" s="1124">
        <v>50.93</v>
      </c>
      <c r="H41" s="1124">
        <v>378.86</v>
      </c>
      <c r="I41" s="1124">
        <f t="shared" si="2"/>
        <v>429.79</v>
      </c>
      <c r="J41" s="1124">
        <v>68.290000000000006</v>
      </c>
      <c r="K41" s="1124">
        <v>4.82</v>
      </c>
      <c r="L41" s="1124">
        <v>34.67</v>
      </c>
      <c r="M41" s="1124">
        <f t="shared" si="3"/>
        <v>107.78000000000002</v>
      </c>
      <c r="N41" s="1124">
        <f>13.44+6.38</f>
        <v>19.82</v>
      </c>
      <c r="O41" s="1124">
        <f t="shared" si="14"/>
        <v>7420.0199999999986</v>
      </c>
      <c r="P41" s="1124">
        <v>8460.18</v>
      </c>
      <c r="Q41" s="1124">
        <v>3952.95</v>
      </c>
      <c r="R41" s="1124">
        <f t="shared" ref="R41" si="17">O41-P41</f>
        <v>-1040.1600000000017</v>
      </c>
      <c r="S41" s="1124">
        <f>R41+S40</f>
        <v>358449.99489999993</v>
      </c>
      <c r="T41" s="1131" t="s">
        <v>578</v>
      </c>
      <c r="U41" s="1249"/>
      <c r="V41" s="1430"/>
    </row>
    <row r="42" spans="1:22" ht="11.85" customHeight="1">
      <c r="A42" s="1129" t="s">
        <v>579</v>
      </c>
      <c r="B42" s="1125">
        <v>244.8</v>
      </c>
      <c r="C42" s="1125">
        <v>3060.36</v>
      </c>
      <c r="D42" s="1125">
        <v>2405.65</v>
      </c>
      <c r="E42" s="1125">
        <v>587.04</v>
      </c>
      <c r="F42" s="1125">
        <f t="shared" si="10"/>
        <v>6297.85</v>
      </c>
      <c r="G42" s="1125">
        <v>36.090000000000003</v>
      </c>
      <c r="H42" s="1125">
        <v>342.53</v>
      </c>
      <c r="I42" s="1125">
        <f t="shared" si="2"/>
        <v>378.62</v>
      </c>
      <c r="J42" s="1125">
        <v>56.17</v>
      </c>
      <c r="K42" s="1125">
        <v>1.04</v>
      </c>
      <c r="L42" s="1125">
        <v>36.409999999999997</v>
      </c>
      <c r="M42" s="1125">
        <f t="shared" si="3"/>
        <v>93.62</v>
      </c>
      <c r="N42" s="1125">
        <f>9.17+15.14</f>
        <v>24.310000000000002</v>
      </c>
      <c r="O42" s="1125">
        <f t="shared" si="14"/>
        <v>6794.4000000000005</v>
      </c>
      <c r="P42" s="1125">
        <v>8348.2000000000007</v>
      </c>
      <c r="Q42" s="1125">
        <v>3841.48</v>
      </c>
      <c r="R42" s="1125">
        <f t="shared" ref="R42" si="18">O42-P42</f>
        <v>-1553.8000000000002</v>
      </c>
      <c r="S42" s="1125">
        <f>R42+S41</f>
        <v>356896.19489999994</v>
      </c>
      <c r="T42" s="1132" t="s">
        <v>579</v>
      </c>
      <c r="U42" s="1249"/>
      <c r="V42" s="1430"/>
    </row>
    <row r="43" spans="1:22" s="1754" customFormat="1" ht="11.85" customHeight="1" thickBot="1">
      <c r="A43" s="1760" t="s">
        <v>572</v>
      </c>
      <c r="B43" s="1761">
        <v>226.75</v>
      </c>
      <c r="C43" s="1761">
        <v>2429.56</v>
      </c>
      <c r="D43" s="1761">
        <v>1894.73</v>
      </c>
      <c r="E43" s="1761">
        <v>419.66</v>
      </c>
      <c r="F43" s="1761">
        <f t="shared" si="10"/>
        <v>4970.7</v>
      </c>
      <c r="G43" s="1761">
        <v>39.07</v>
      </c>
      <c r="H43" s="1761">
        <v>327.3</v>
      </c>
      <c r="I43" s="1761">
        <f t="shared" si="2"/>
        <v>366.37</v>
      </c>
      <c r="J43" s="1761">
        <v>47.77</v>
      </c>
      <c r="K43" s="1761">
        <v>1.62</v>
      </c>
      <c r="L43" s="1761">
        <v>20</v>
      </c>
      <c r="M43" s="1761">
        <f t="shared" si="3"/>
        <v>69.39</v>
      </c>
      <c r="N43" s="1761">
        <f>9.72+3.91</f>
        <v>13.63</v>
      </c>
      <c r="O43" s="1761">
        <f t="shared" si="14"/>
        <v>5420.09</v>
      </c>
      <c r="P43" s="1761">
        <v>7624.41</v>
      </c>
      <c r="Q43" s="1761">
        <v>3839.63</v>
      </c>
      <c r="R43" s="1761">
        <f t="shared" ref="R43" si="19">O43-P43</f>
        <v>-2204.3199999999997</v>
      </c>
      <c r="S43" s="1761">
        <f>R43+S42</f>
        <v>354691.87489999994</v>
      </c>
      <c r="T43" s="1762" t="s">
        <v>572</v>
      </c>
      <c r="U43" s="1249"/>
      <c r="V43" s="1430"/>
    </row>
    <row r="44" spans="1:22" ht="15">
      <c r="A44" s="734" t="s">
        <v>2092</v>
      </c>
      <c r="B44" s="746"/>
      <c r="C44" s="746"/>
      <c r="D44" s="746"/>
      <c r="E44" s="746"/>
      <c r="F44" s="746"/>
      <c r="G44" s="746"/>
      <c r="H44" s="746"/>
      <c r="I44" s="746"/>
      <c r="J44" s="746"/>
      <c r="K44" s="746"/>
      <c r="L44" s="746"/>
      <c r="M44" s="746"/>
      <c r="N44" s="746"/>
      <c r="O44" s="746"/>
      <c r="P44" s="746"/>
      <c r="Q44" s="746"/>
      <c r="R44" s="746"/>
      <c r="S44" s="746"/>
      <c r="T44" s="202"/>
    </row>
    <row r="45" spans="1:22" ht="15">
      <c r="A45" s="1153" t="s">
        <v>1429</v>
      </c>
      <c r="B45" s="736" t="s">
        <v>2133</v>
      </c>
      <c r="C45" s="732"/>
      <c r="D45" s="732"/>
      <c r="E45" s="732"/>
      <c r="F45" s="741"/>
      <c r="G45" s="732"/>
      <c r="H45" s="741" t="s">
        <v>1390</v>
      </c>
      <c r="I45" s="732"/>
      <c r="J45" s="732"/>
      <c r="K45" s="732"/>
      <c r="L45" s="732"/>
      <c r="M45" s="732"/>
      <c r="N45" s="732"/>
      <c r="O45" s="732"/>
      <c r="P45" s="732"/>
      <c r="Q45" s="1311"/>
      <c r="R45" s="732"/>
      <c r="S45" s="564"/>
      <c r="T45" s="632"/>
    </row>
    <row r="46" spans="1:22" ht="15">
      <c r="A46" s="732"/>
      <c r="B46" s="732"/>
      <c r="C46" s="732"/>
      <c r="D46" s="732"/>
      <c r="E46" s="732"/>
      <c r="F46" s="741"/>
      <c r="G46" s="732"/>
      <c r="H46" s="742"/>
      <c r="I46" s="742"/>
      <c r="J46" s="732"/>
      <c r="K46" s="732"/>
      <c r="L46" s="732"/>
      <c r="M46" s="732"/>
      <c r="N46" s="732"/>
      <c r="O46" s="732"/>
      <c r="P46" s="1325"/>
      <c r="Q46" s="1312"/>
      <c r="R46" s="732"/>
      <c r="S46" s="463"/>
      <c r="T46" s="632"/>
      <c r="V46" s="632"/>
    </row>
    <row r="47" spans="1:22">
      <c r="O47" s="632"/>
    </row>
    <row r="48" spans="1:22">
      <c r="Q48" s="632"/>
      <c r="S48" s="632"/>
    </row>
    <row r="49" spans="16:16">
      <c r="P49" s="632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firstPageNumber="114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5"/>
  <sheetViews>
    <sheetView showWhiteSpace="0" workbookViewId="0">
      <selection activeCell="Q5" sqref="Q5"/>
    </sheetView>
  </sheetViews>
  <sheetFormatPr defaultRowHeight="12.75"/>
  <cols>
    <col min="1" max="1" width="7" style="1257" customWidth="1"/>
    <col min="2" max="2" width="7.140625" style="1257" customWidth="1"/>
    <col min="3" max="3" width="6.28515625" style="1257" customWidth="1"/>
    <col min="4" max="4" width="7.140625" style="1257" customWidth="1"/>
    <col min="5" max="5" width="5.42578125" style="1257" customWidth="1"/>
    <col min="6" max="7" width="7.140625" style="1257" customWidth="1"/>
    <col min="8" max="8" width="6.28515625" style="1257" customWidth="1"/>
    <col min="9" max="10" width="7.140625" style="1257" customWidth="1"/>
    <col min="11" max="11" width="5.5703125" style="1257" customWidth="1"/>
    <col min="12" max="13" width="5.42578125" style="1257" customWidth="1"/>
    <col min="14" max="14" width="7.140625" style="1257" customWidth="1"/>
    <col min="15" max="15" width="4.85546875" style="1257" customWidth="1"/>
    <col min="16" max="16" width="6" style="1257" customWidth="1"/>
    <col min="17" max="17" width="4.42578125" style="1257" customWidth="1"/>
    <col min="18" max="18" width="7.140625" style="1257" customWidth="1"/>
    <col min="19" max="19" width="7.7109375" style="1257" customWidth="1"/>
    <col min="20" max="20" width="6.28515625" style="1257" customWidth="1"/>
    <col min="21" max="22" width="7.140625" style="1257" customWidth="1"/>
    <col min="23" max="23" width="7" style="1257" customWidth="1"/>
    <col min="24" max="16384" width="9.140625" style="1257"/>
  </cols>
  <sheetData>
    <row r="1" spans="1:26" ht="18.75">
      <c r="A1" s="1046"/>
      <c r="B1" s="1046"/>
      <c r="C1" s="1046"/>
      <c r="D1" s="1046"/>
      <c r="E1" s="1046"/>
      <c r="F1" s="1046"/>
      <c r="G1" s="1046"/>
      <c r="H1" s="1046"/>
      <c r="I1" s="2532" t="s">
        <v>2321</v>
      </c>
      <c r="J1" s="2532"/>
      <c r="K1" s="2532"/>
      <c r="L1" s="2533" t="s">
        <v>2322</v>
      </c>
      <c r="M1" s="2533"/>
      <c r="N1" s="2534" t="s">
        <v>2797</v>
      </c>
      <c r="O1" s="2534"/>
      <c r="P1" s="2534"/>
      <c r="Q1" s="1358"/>
      <c r="R1" s="1358"/>
      <c r="S1" s="1046"/>
      <c r="T1" s="1046"/>
      <c r="U1" s="1046"/>
      <c r="V1" s="1046"/>
      <c r="W1" s="1046"/>
    </row>
    <row r="2" spans="1:26" ht="18.75">
      <c r="A2" s="729"/>
      <c r="B2" s="730"/>
      <c r="C2" s="730"/>
      <c r="D2" s="737"/>
      <c r="E2" s="737"/>
      <c r="F2" s="737"/>
      <c r="G2" s="737"/>
      <c r="H2" s="737"/>
      <c r="I2" s="1359"/>
      <c r="J2" s="1360" t="s">
        <v>2323</v>
      </c>
      <c r="K2" s="1360"/>
      <c r="L2" s="1360"/>
      <c r="M2" s="1360"/>
      <c r="N2" s="1360"/>
      <c r="O2" s="1359"/>
      <c r="P2" s="1359"/>
      <c r="Q2" s="1359"/>
      <c r="R2" s="1359"/>
      <c r="S2" s="730"/>
      <c r="T2" s="730"/>
      <c r="U2" s="730"/>
      <c r="V2" s="1361" t="s">
        <v>2324</v>
      </c>
      <c r="W2" s="1046"/>
    </row>
    <row r="3" spans="1:26" ht="15">
      <c r="A3" s="1362"/>
      <c r="B3" s="1362"/>
      <c r="C3" s="1362"/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  <c r="O3" s="1362"/>
      <c r="P3" s="1362"/>
      <c r="Q3" s="1362"/>
      <c r="R3" s="1362"/>
      <c r="S3" s="1362"/>
      <c r="T3" s="1362"/>
      <c r="U3" s="1362"/>
      <c r="V3" s="1363" t="s">
        <v>24</v>
      </c>
      <c r="W3" s="1364"/>
    </row>
    <row r="4" spans="1:26">
      <c r="A4" s="2536" t="s">
        <v>498</v>
      </c>
      <c r="B4" s="2537" t="s">
        <v>2325</v>
      </c>
      <c r="C4" s="2538"/>
      <c r="D4" s="2538"/>
      <c r="E4" s="2538"/>
      <c r="F4" s="2539"/>
      <c r="G4" s="2537" t="s">
        <v>2326</v>
      </c>
      <c r="H4" s="2540"/>
      <c r="I4" s="2540"/>
      <c r="J4" s="2540"/>
      <c r="K4" s="2540"/>
      <c r="L4" s="2540"/>
      <c r="M4" s="2540"/>
      <c r="N4" s="2540"/>
      <c r="O4" s="2540"/>
      <c r="P4" s="2540"/>
      <c r="Q4" s="2540"/>
      <c r="R4" s="2541"/>
      <c r="S4" s="2542" t="s">
        <v>2327</v>
      </c>
      <c r="T4" s="2544" t="s">
        <v>2328</v>
      </c>
      <c r="U4" s="2545"/>
      <c r="V4" s="2546"/>
      <c r="W4" s="2535" t="s">
        <v>498</v>
      </c>
    </row>
    <row r="5" spans="1:26" ht="85.5" customHeight="1">
      <c r="A5" s="2497"/>
      <c r="B5" s="1365" t="s">
        <v>2329</v>
      </c>
      <c r="C5" s="1366" t="s">
        <v>2330</v>
      </c>
      <c r="D5" s="1365" t="s">
        <v>2331</v>
      </c>
      <c r="E5" s="1365" t="s">
        <v>2332</v>
      </c>
      <c r="F5" s="1365" t="s">
        <v>2333</v>
      </c>
      <c r="G5" s="1365" t="s">
        <v>2334</v>
      </c>
      <c r="H5" s="1365" t="s">
        <v>2335</v>
      </c>
      <c r="I5" s="1365" t="s">
        <v>2336</v>
      </c>
      <c r="J5" s="1365" t="s">
        <v>2337</v>
      </c>
      <c r="K5" s="1365" t="s">
        <v>2338</v>
      </c>
      <c r="L5" s="1365" t="s">
        <v>2339</v>
      </c>
      <c r="M5" s="1367" t="s">
        <v>2340</v>
      </c>
      <c r="N5" s="1367" t="s">
        <v>2341</v>
      </c>
      <c r="O5" s="1366" t="s">
        <v>2342</v>
      </c>
      <c r="P5" s="1366" t="s">
        <v>2343</v>
      </c>
      <c r="Q5" s="1366" t="s">
        <v>2344</v>
      </c>
      <c r="R5" s="1366" t="s">
        <v>2345</v>
      </c>
      <c r="S5" s="2543"/>
      <c r="T5" s="1366" t="s">
        <v>2346</v>
      </c>
      <c r="U5" s="1366" t="s">
        <v>2347</v>
      </c>
      <c r="V5" s="1366" t="s">
        <v>2348</v>
      </c>
      <c r="W5" s="2527"/>
    </row>
    <row r="6" spans="1:26">
      <c r="A6" s="2498"/>
      <c r="B6" s="1546">
        <v>1</v>
      </c>
      <c r="C6" s="1368">
        <v>2</v>
      </c>
      <c r="D6" s="1368">
        <v>3</v>
      </c>
      <c r="E6" s="1368">
        <v>4</v>
      </c>
      <c r="F6" s="1368">
        <v>5</v>
      </c>
      <c r="G6" s="1368">
        <v>6</v>
      </c>
      <c r="H6" s="1368">
        <v>7</v>
      </c>
      <c r="I6" s="1368">
        <v>8</v>
      </c>
      <c r="J6" s="1368">
        <v>9</v>
      </c>
      <c r="K6" s="1368">
        <v>10</v>
      </c>
      <c r="L6" s="1368">
        <v>11</v>
      </c>
      <c r="M6" s="1368">
        <v>12</v>
      </c>
      <c r="N6" s="1368">
        <v>13</v>
      </c>
      <c r="O6" s="1368">
        <v>14</v>
      </c>
      <c r="P6" s="1368">
        <v>15</v>
      </c>
      <c r="Q6" s="1368">
        <v>16</v>
      </c>
      <c r="R6" s="1368">
        <v>17</v>
      </c>
      <c r="S6" s="1368">
        <v>18</v>
      </c>
      <c r="T6" s="1368">
        <v>19</v>
      </c>
      <c r="U6" s="1368">
        <v>20</v>
      </c>
      <c r="V6" s="1368">
        <v>21</v>
      </c>
      <c r="W6" s="2528"/>
      <c r="Z6" s="1379"/>
    </row>
    <row r="7" spans="1:26" ht="17.100000000000001" customHeight="1">
      <c r="A7" s="1386" t="s">
        <v>565</v>
      </c>
      <c r="B7" s="1380">
        <v>17096</v>
      </c>
      <c r="C7" s="1380">
        <v>4249</v>
      </c>
      <c r="D7" s="1380">
        <v>21345</v>
      </c>
      <c r="E7" s="1380">
        <v>3609</v>
      </c>
      <c r="F7" s="1380">
        <v>24954</v>
      </c>
      <c r="G7" s="1380">
        <v>17898</v>
      </c>
      <c r="H7" s="1380">
        <v>1109</v>
      </c>
      <c r="I7" s="1380">
        <v>19007</v>
      </c>
      <c r="J7" s="1380">
        <v>16560</v>
      </c>
      <c r="K7" s="1380">
        <v>193</v>
      </c>
      <c r="L7" s="1380">
        <v>0</v>
      </c>
      <c r="M7" s="1380">
        <v>496</v>
      </c>
      <c r="N7" s="1380">
        <v>17249</v>
      </c>
      <c r="O7" s="1380">
        <v>-9</v>
      </c>
      <c r="P7" s="1380">
        <v>-249</v>
      </c>
      <c r="Q7" s="1380">
        <v>0</v>
      </c>
      <c r="R7" s="1380">
        <v>35998</v>
      </c>
      <c r="S7" s="1380">
        <v>-11044</v>
      </c>
      <c r="T7" s="1380">
        <v>3100</v>
      </c>
      <c r="U7" s="1380">
        <v>7944</v>
      </c>
      <c r="V7" s="1380">
        <v>11044</v>
      </c>
      <c r="W7" s="1388" t="s">
        <v>565</v>
      </c>
    </row>
    <row r="8" spans="1:26" ht="17.100000000000001" customHeight="1">
      <c r="A8" s="1387" t="s">
        <v>566</v>
      </c>
      <c r="B8" s="1381">
        <v>19490</v>
      </c>
      <c r="C8" s="1381">
        <v>4683</v>
      </c>
      <c r="D8" s="1381">
        <v>24173</v>
      </c>
      <c r="E8" s="1381">
        <v>2929</v>
      </c>
      <c r="F8" s="1381">
        <v>27102</v>
      </c>
      <c r="G8" s="1381">
        <v>20136</v>
      </c>
      <c r="H8" s="1381">
        <v>1411</v>
      </c>
      <c r="I8" s="1381">
        <v>21547</v>
      </c>
      <c r="J8" s="1381">
        <v>17950</v>
      </c>
      <c r="K8" s="1381">
        <v>133</v>
      </c>
      <c r="L8" s="1381">
        <v>0</v>
      </c>
      <c r="M8" s="1381">
        <v>773</v>
      </c>
      <c r="N8" s="1381">
        <v>18856</v>
      </c>
      <c r="O8" s="1384">
        <v>-122</v>
      </c>
      <c r="P8" s="1381">
        <v>-422</v>
      </c>
      <c r="Q8" s="1381">
        <v>0</v>
      </c>
      <c r="R8" s="1381">
        <v>39859</v>
      </c>
      <c r="S8" s="1381">
        <v>-12757</v>
      </c>
      <c r="T8" s="1381">
        <v>3565</v>
      </c>
      <c r="U8" s="1381">
        <v>9192</v>
      </c>
      <c r="V8" s="1381">
        <v>12757</v>
      </c>
      <c r="W8" s="1389" t="s">
        <v>566</v>
      </c>
    </row>
    <row r="9" spans="1:26" ht="17.100000000000001" customHeight="1">
      <c r="A9" s="1386" t="s">
        <v>567</v>
      </c>
      <c r="B9" s="1380">
        <v>21930</v>
      </c>
      <c r="C9" s="1380">
        <v>5740</v>
      </c>
      <c r="D9" s="1380">
        <v>27670</v>
      </c>
      <c r="E9" s="1380">
        <v>3482</v>
      </c>
      <c r="F9" s="1380">
        <v>31152</v>
      </c>
      <c r="G9" s="1380">
        <v>21037</v>
      </c>
      <c r="H9" s="1380">
        <v>1218</v>
      </c>
      <c r="I9" s="1380">
        <v>22255</v>
      </c>
      <c r="J9" s="1380">
        <v>15847</v>
      </c>
      <c r="K9" s="1380">
        <v>313</v>
      </c>
      <c r="L9" s="1380">
        <v>0</v>
      </c>
      <c r="M9" s="1380">
        <v>733</v>
      </c>
      <c r="N9" s="1380">
        <v>16893</v>
      </c>
      <c r="O9" s="1380">
        <v>-6</v>
      </c>
      <c r="P9" s="1380">
        <v>-385</v>
      </c>
      <c r="Q9" s="1380">
        <v>0</v>
      </c>
      <c r="R9" s="1380">
        <v>38757</v>
      </c>
      <c r="S9" s="1380">
        <v>-7605</v>
      </c>
      <c r="T9" s="1380">
        <v>2759</v>
      </c>
      <c r="U9" s="1380">
        <v>4846</v>
      </c>
      <c r="V9" s="1380">
        <v>7605</v>
      </c>
      <c r="W9" s="1388" t="s">
        <v>567</v>
      </c>
    </row>
    <row r="10" spans="1:26" ht="17.100000000000001" customHeight="1">
      <c r="A10" s="1387" t="s">
        <v>568</v>
      </c>
      <c r="B10" s="1381">
        <v>24950</v>
      </c>
      <c r="C10" s="1381">
        <v>6170</v>
      </c>
      <c r="D10" s="1381">
        <v>31120</v>
      </c>
      <c r="E10" s="1381">
        <v>2447</v>
      </c>
      <c r="F10" s="1381">
        <v>33567</v>
      </c>
      <c r="G10" s="1381">
        <v>24255</v>
      </c>
      <c r="H10" s="1381">
        <v>1351</v>
      </c>
      <c r="I10" s="1381">
        <v>25606</v>
      </c>
      <c r="J10" s="1381">
        <v>17060</v>
      </c>
      <c r="K10" s="1381">
        <v>390</v>
      </c>
      <c r="L10" s="1381">
        <v>0</v>
      </c>
      <c r="M10" s="1381">
        <v>593</v>
      </c>
      <c r="N10" s="1381">
        <v>18043</v>
      </c>
      <c r="O10" s="1381">
        <v>-74</v>
      </c>
      <c r="P10" s="1381">
        <v>-1029</v>
      </c>
      <c r="Q10" s="1381">
        <v>0</v>
      </c>
      <c r="R10" s="1381">
        <v>42546</v>
      </c>
      <c r="S10" s="1381">
        <v>-8979</v>
      </c>
      <c r="T10" s="1381">
        <v>4543</v>
      </c>
      <c r="U10" s="1381">
        <v>4436</v>
      </c>
      <c r="V10" s="1381">
        <v>8979</v>
      </c>
      <c r="W10" s="1389" t="s">
        <v>568</v>
      </c>
    </row>
    <row r="11" spans="1:26" ht="17.100000000000001" customHeight="1">
      <c r="A11" s="1386" t="s">
        <v>569</v>
      </c>
      <c r="B11" s="1380">
        <v>28300</v>
      </c>
      <c r="C11" s="1380">
        <v>7100</v>
      </c>
      <c r="D11" s="1380">
        <v>35400</v>
      </c>
      <c r="E11" s="1380">
        <v>2663</v>
      </c>
      <c r="F11" s="1380">
        <v>38063</v>
      </c>
      <c r="G11" s="1380">
        <v>26807</v>
      </c>
      <c r="H11" s="1380">
        <v>1766</v>
      </c>
      <c r="I11" s="1380">
        <v>28573</v>
      </c>
      <c r="J11" s="1380">
        <v>19000</v>
      </c>
      <c r="K11" s="1380">
        <v>419</v>
      </c>
      <c r="L11" s="1380">
        <v>210</v>
      </c>
      <c r="M11" s="1380">
        <v>585</v>
      </c>
      <c r="N11" s="1380">
        <v>20214</v>
      </c>
      <c r="O11" s="1380">
        <v>508</v>
      </c>
      <c r="P11" s="1380">
        <v>-928</v>
      </c>
      <c r="Q11" s="1385">
        <v>1000</v>
      </c>
      <c r="R11" s="1380">
        <v>49367</v>
      </c>
      <c r="S11" s="1380">
        <v>-11304</v>
      </c>
      <c r="T11" s="1380">
        <v>5329</v>
      </c>
      <c r="U11" s="1380">
        <v>5975</v>
      </c>
      <c r="V11" s="1380">
        <v>11304</v>
      </c>
      <c r="W11" s="1388" t="s">
        <v>569</v>
      </c>
    </row>
    <row r="12" spans="1:26" ht="17.100000000000001" customHeight="1">
      <c r="A12" s="1387" t="s">
        <v>570</v>
      </c>
      <c r="B12" s="1381">
        <v>31950</v>
      </c>
      <c r="C12" s="1381">
        <v>7250</v>
      </c>
      <c r="D12" s="1381">
        <v>39200</v>
      </c>
      <c r="E12" s="1381">
        <v>2644</v>
      </c>
      <c r="F12" s="1381">
        <v>41844</v>
      </c>
      <c r="G12" s="1381">
        <v>31590</v>
      </c>
      <c r="H12" s="1381">
        <v>2080</v>
      </c>
      <c r="I12" s="1381">
        <v>33670</v>
      </c>
      <c r="J12" s="1381">
        <v>20500</v>
      </c>
      <c r="K12" s="1381">
        <v>595</v>
      </c>
      <c r="L12" s="1381">
        <v>994</v>
      </c>
      <c r="M12" s="1381">
        <v>587</v>
      </c>
      <c r="N12" s="1381">
        <v>22676</v>
      </c>
      <c r="O12" s="1381">
        <v>168</v>
      </c>
      <c r="P12" s="1381">
        <v>-1152</v>
      </c>
      <c r="Q12" s="1384">
        <v>270</v>
      </c>
      <c r="R12" s="1381">
        <v>55632</v>
      </c>
      <c r="S12" s="1381">
        <v>-13788</v>
      </c>
      <c r="T12" s="1381">
        <v>6187</v>
      </c>
      <c r="U12" s="1381">
        <v>7601</v>
      </c>
      <c r="V12" s="1381">
        <v>13788</v>
      </c>
      <c r="W12" s="1389" t="s">
        <v>570</v>
      </c>
    </row>
    <row r="13" spans="1:26" ht="17.100000000000001" customHeight="1">
      <c r="A13" s="1386" t="s">
        <v>575</v>
      </c>
      <c r="B13" s="1380">
        <v>36175</v>
      </c>
      <c r="C13" s="1380">
        <v>8693</v>
      </c>
      <c r="D13" s="1380">
        <v>44868</v>
      </c>
      <c r="E13" s="1380">
        <v>2476</v>
      </c>
      <c r="F13" s="1380">
        <v>47344</v>
      </c>
      <c r="G13" s="1380">
        <v>34805</v>
      </c>
      <c r="H13" s="1380">
        <v>2252</v>
      </c>
      <c r="I13" s="1380">
        <v>37057</v>
      </c>
      <c r="J13" s="1380">
        <v>21500</v>
      </c>
      <c r="K13" s="1380">
        <v>0</v>
      </c>
      <c r="L13" s="1380">
        <v>1363</v>
      </c>
      <c r="M13" s="1380">
        <v>763</v>
      </c>
      <c r="N13" s="1380">
        <v>23626</v>
      </c>
      <c r="O13" s="1380">
        <v>207</v>
      </c>
      <c r="P13" s="1380">
        <v>-32</v>
      </c>
      <c r="Q13" s="1385">
        <v>200</v>
      </c>
      <c r="R13" s="1380">
        <v>61058</v>
      </c>
      <c r="S13" s="1380">
        <v>-13714</v>
      </c>
      <c r="T13" s="1380">
        <v>5574</v>
      </c>
      <c r="U13" s="1380">
        <v>8140</v>
      </c>
      <c r="V13" s="1380">
        <v>13714</v>
      </c>
      <c r="W13" s="1388" t="s">
        <v>575</v>
      </c>
    </row>
    <row r="14" spans="1:26" ht="17.100000000000001" customHeight="1">
      <c r="A14" s="1387" t="s">
        <v>584</v>
      </c>
      <c r="B14" s="1381">
        <v>39247</v>
      </c>
      <c r="C14" s="1381">
        <v>10225</v>
      </c>
      <c r="D14" s="1381">
        <v>49472</v>
      </c>
      <c r="E14" s="1381">
        <v>2150</v>
      </c>
      <c r="F14" s="1381">
        <v>51622</v>
      </c>
      <c r="G14" s="1381">
        <v>42064</v>
      </c>
      <c r="H14" s="1381">
        <v>2348</v>
      </c>
      <c r="I14" s="1381">
        <v>44412</v>
      </c>
      <c r="J14" s="1381">
        <v>21600</v>
      </c>
      <c r="K14" s="1381">
        <v>0</v>
      </c>
      <c r="L14" s="1381">
        <v>1579</v>
      </c>
      <c r="M14" s="1381">
        <v>283</v>
      </c>
      <c r="N14" s="1381">
        <v>23462</v>
      </c>
      <c r="O14" s="1381">
        <v>388</v>
      </c>
      <c r="P14" s="1381">
        <v>-1455</v>
      </c>
      <c r="Q14" s="1381">
        <v>29</v>
      </c>
      <c r="R14" s="1381">
        <v>66836</v>
      </c>
      <c r="S14" s="1381">
        <v>-15214</v>
      </c>
      <c r="T14" s="1381">
        <v>5183</v>
      </c>
      <c r="U14" s="1381">
        <v>10031</v>
      </c>
      <c r="V14" s="1381">
        <v>15214</v>
      </c>
      <c r="W14" s="1389" t="s">
        <v>584</v>
      </c>
    </row>
    <row r="15" spans="1:26" ht="17.100000000000001" customHeight="1">
      <c r="A15" s="1386" t="s">
        <v>336</v>
      </c>
      <c r="B15" s="1380">
        <v>48012</v>
      </c>
      <c r="C15" s="1380">
        <v>12527</v>
      </c>
      <c r="D15" s="1380">
        <v>60539</v>
      </c>
      <c r="E15" s="1380">
        <v>4388</v>
      </c>
      <c r="F15" s="1380">
        <v>64927</v>
      </c>
      <c r="G15" s="1380">
        <v>52255</v>
      </c>
      <c r="H15" s="1380">
        <v>4734</v>
      </c>
      <c r="I15" s="1380">
        <v>56989</v>
      </c>
      <c r="J15" s="1380">
        <v>22500</v>
      </c>
      <c r="K15" s="1380">
        <v>549</v>
      </c>
      <c r="L15" s="1380">
        <v>496</v>
      </c>
      <c r="M15" s="1380">
        <v>804</v>
      </c>
      <c r="N15" s="1380">
        <v>24349</v>
      </c>
      <c r="O15" s="1380">
        <v>809</v>
      </c>
      <c r="P15" s="1380">
        <v>9761</v>
      </c>
      <c r="Q15" s="1385">
        <v>1700</v>
      </c>
      <c r="R15" s="1380">
        <v>93608</v>
      </c>
      <c r="S15" s="1380">
        <v>-28681</v>
      </c>
      <c r="T15" s="1380">
        <v>8756</v>
      </c>
      <c r="U15" s="1380">
        <v>19925</v>
      </c>
      <c r="V15" s="1380">
        <v>28681</v>
      </c>
      <c r="W15" s="1388" t="s">
        <v>336</v>
      </c>
    </row>
    <row r="16" spans="1:26" ht="17.100000000000001" customHeight="1">
      <c r="A16" s="1369" t="s">
        <v>85</v>
      </c>
      <c r="B16" s="1381">
        <v>55526</v>
      </c>
      <c r="C16" s="1381">
        <v>13654</v>
      </c>
      <c r="D16" s="1381">
        <v>69180</v>
      </c>
      <c r="E16" s="1381">
        <v>4929</v>
      </c>
      <c r="F16" s="1381">
        <v>74109</v>
      </c>
      <c r="G16" s="1381">
        <v>62676</v>
      </c>
      <c r="H16" s="1381">
        <v>4449</v>
      </c>
      <c r="I16" s="1381">
        <v>67125</v>
      </c>
      <c r="J16" s="1381">
        <v>23000</v>
      </c>
      <c r="K16" s="1381">
        <v>990</v>
      </c>
      <c r="L16" s="1381">
        <v>478</v>
      </c>
      <c r="M16" s="1381">
        <v>1234</v>
      </c>
      <c r="N16" s="1381">
        <v>25702</v>
      </c>
      <c r="O16" s="1381">
        <v>4</v>
      </c>
      <c r="P16" s="1381">
        <v>559</v>
      </c>
      <c r="Q16" s="1384">
        <v>750</v>
      </c>
      <c r="R16" s="1381">
        <v>94140</v>
      </c>
      <c r="S16" s="1381">
        <v>-20031</v>
      </c>
      <c r="T16" s="1381">
        <v>5833</v>
      </c>
      <c r="U16" s="1381">
        <v>14198</v>
      </c>
      <c r="V16" s="1381">
        <v>20031</v>
      </c>
      <c r="W16" s="1390" t="s">
        <v>85</v>
      </c>
    </row>
    <row r="17" spans="1:23" ht="17.100000000000001" customHeight="1">
      <c r="A17" s="1370" t="s">
        <v>81</v>
      </c>
      <c r="B17" s="1380">
        <v>63956</v>
      </c>
      <c r="C17" s="1380">
        <v>15528</v>
      </c>
      <c r="D17" s="1380">
        <v>79484</v>
      </c>
      <c r="E17" s="1380">
        <v>3742</v>
      </c>
      <c r="F17" s="1380">
        <v>83226</v>
      </c>
      <c r="G17" s="1380">
        <v>68711</v>
      </c>
      <c r="H17" s="1380">
        <v>8417</v>
      </c>
      <c r="I17" s="1380">
        <v>77128</v>
      </c>
      <c r="J17" s="1380">
        <v>28500</v>
      </c>
      <c r="K17" s="1380">
        <v>1180</v>
      </c>
      <c r="L17" s="1380">
        <v>1009</v>
      </c>
      <c r="M17" s="1380">
        <v>1126</v>
      </c>
      <c r="N17" s="1380">
        <v>31815</v>
      </c>
      <c r="O17" s="1380">
        <v>60</v>
      </c>
      <c r="P17" s="1380">
        <v>1188</v>
      </c>
      <c r="Q17" s="1385">
        <v>332</v>
      </c>
      <c r="R17" s="1380">
        <v>110523</v>
      </c>
      <c r="S17" s="1380">
        <v>-27297</v>
      </c>
      <c r="T17" s="1380">
        <v>9972</v>
      </c>
      <c r="U17" s="1380">
        <v>17325</v>
      </c>
      <c r="V17" s="1380">
        <v>27297</v>
      </c>
      <c r="W17" s="1391" t="s">
        <v>81</v>
      </c>
    </row>
    <row r="18" spans="1:23" ht="17.100000000000001" customHeight="1">
      <c r="A18" s="1377" t="s">
        <v>192</v>
      </c>
      <c r="B18" s="1381">
        <v>79052</v>
      </c>
      <c r="C18" s="1381">
        <v>16135</v>
      </c>
      <c r="D18" s="1381">
        <v>95187</v>
      </c>
      <c r="E18" s="1381">
        <v>4224</v>
      </c>
      <c r="F18" s="1381">
        <v>99411</v>
      </c>
      <c r="G18" s="1381">
        <v>77103</v>
      </c>
      <c r="H18" s="1381">
        <v>6074</v>
      </c>
      <c r="I18" s="1381">
        <v>83177</v>
      </c>
      <c r="J18" s="1381">
        <v>35880</v>
      </c>
      <c r="K18" s="1381">
        <v>1430</v>
      </c>
      <c r="L18" s="1381">
        <v>1011</v>
      </c>
      <c r="M18" s="1381">
        <v>1294</v>
      </c>
      <c r="N18" s="1381">
        <v>39615</v>
      </c>
      <c r="O18" s="1381">
        <v>351</v>
      </c>
      <c r="P18" s="1381">
        <v>6718</v>
      </c>
      <c r="Q18" s="1383">
        <v>150</v>
      </c>
      <c r="R18" s="1381">
        <v>130011</v>
      </c>
      <c r="S18" s="1381">
        <v>-30600</v>
      </c>
      <c r="T18" s="1381">
        <v>5783</v>
      </c>
      <c r="U18" s="1381">
        <v>24817</v>
      </c>
      <c r="V18" s="1381">
        <v>30600</v>
      </c>
      <c r="W18" s="1392" t="s">
        <v>192</v>
      </c>
    </row>
    <row r="19" spans="1:23" ht="17.100000000000001" customHeight="1">
      <c r="A19" s="1378" t="s">
        <v>757</v>
      </c>
      <c r="B19" s="1380">
        <v>96285</v>
      </c>
      <c r="C19" s="1380">
        <v>18600</v>
      </c>
      <c r="D19" s="1380">
        <v>114885</v>
      </c>
      <c r="E19" s="1380">
        <v>4460</v>
      </c>
      <c r="F19" s="1380">
        <v>119345</v>
      </c>
      <c r="G19" s="1380">
        <v>91823</v>
      </c>
      <c r="H19" s="1380">
        <v>9162</v>
      </c>
      <c r="I19" s="1380">
        <v>100985</v>
      </c>
      <c r="J19" s="1380">
        <v>41080</v>
      </c>
      <c r="K19" s="1380">
        <v>2142</v>
      </c>
      <c r="L19" s="1380">
        <v>1144</v>
      </c>
      <c r="M19" s="1380">
        <v>1285</v>
      </c>
      <c r="N19" s="1380">
        <v>45651</v>
      </c>
      <c r="O19" s="1380">
        <v>384</v>
      </c>
      <c r="P19" s="1382">
        <v>14193</v>
      </c>
      <c r="Q19" s="1380">
        <v>0</v>
      </c>
      <c r="R19" s="1380">
        <v>161213</v>
      </c>
      <c r="S19" s="1380">
        <v>-41868</v>
      </c>
      <c r="T19" s="1380">
        <v>7399</v>
      </c>
      <c r="U19" s="1380">
        <v>34469</v>
      </c>
      <c r="V19" s="1380">
        <v>41868</v>
      </c>
      <c r="W19" s="1393" t="s">
        <v>757</v>
      </c>
    </row>
    <row r="20" spans="1:23" ht="17.100000000000001" customHeight="1">
      <c r="A20" s="1377" t="s">
        <v>866</v>
      </c>
      <c r="B20" s="1381">
        <v>116824</v>
      </c>
      <c r="C20" s="1381">
        <v>22846</v>
      </c>
      <c r="D20" s="1381">
        <v>139670</v>
      </c>
      <c r="E20" s="1381">
        <v>5280</v>
      </c>
      <c r="F20" s="1381">
        <v>144950</v>
      </c>
      <c r="G20" s="1381">
        <v>102892</v>
      </c>
      <c r="H20" s="1381">
        <v>7735</v>
      </c>
      <c r="I20" s="1381">
        <v>110627</v>
      </c>
      <c r="J20" s="1381">
        <v>52366</v>
      </c>
      <c r="K20" s="1381">
        <v>3091</v>
      </c>
      <c r="L20" s="1381">
        <v>801</v>
      </c>
      <c r="M20" s="1381">
        <v>1493</v>
      </c>
      <c r="N20" s="1381">
        <v>57751</v>
      </c>
      <c r="O20" s="1381">
        <v>183</v>
      </c>
      <c r="P20" s="1384">
        <v>20765</v>
      </c>
      <c r="Q20" s="1381">
        <v>0</v>
      </c>
      <c r="R20" s="1381">
        <v>189326</v>
      </c>
      <c r="S20" s="1381">
        <v>-44376</v>
      </c>
      <c r="T20" s="1381">
        <v>11903</v>
      </c>
      <c r="U20" s="1381">
        <v>32473</v>
      </c>
      <c r="V20" s="1381">
        <v>44376</v>
      </c>
      <c r="W20" s="1392" t="s">
        <v>866</v>
      </c>
    </row>
    <row r="21" spans="1:23" ht="17.100000000000001" customHeight="1">
      <c r="A21" s="1378" t="s">
        <v>1051</v>
      </c>
      <c r="B21" s="1380">
        <v>130178</v>
      </c>
      <c r="C21" s="1380">
        <v>26493</v>
      </c>
      <c r="D21" s="1380">
        <v>156671</v>
      </c>
      <c r="E21" s="1380">
        <v>5956</v>
      </c>
      <c r="F21" s="1380">
        <v>162627</v>
      </c>
      <c r="G21" s="1380">
        <v>115998</v>
      </c>
      <c r="H21" s="1380">
        <v>18909</v>
      </c>
      <c r="I21" s="1380">
        <v>134907</v>
      </c>
      <c r="J21" s="1380">
        <v>60000</v>
      </c>
      <c r="K21" s="1380">
        <v>3058</v>
      </c>
      <c r="L21" s="1380">
        <v>893</v>
      </c>
      <c r="M21" s="1380">
        <v>1194</v>
      </c>
      <c r="N21" s="1380">
        <v>65145</v>
      </c>
      <c r="O21" s="1380">
        <v>188</v>
      </c>
      <c r="P21" s="1382">
        <v>15982</v>
      </c>
      <c r="Q21" s="1380">
        <v>0</v>
      </c>
      <c r="R21" s="1380">
        <v>216222</v>
      </c>
      <c r="S21" s="1380">
        <v>-53595</v>
      </c>
      <c r="T21" s="1380">
        <v>12613</v>
      </c>
      <c r="U21" s="1380">
        <v>40982</v>
      </c>
      <c r="V21" s="1380">
        <v>53595</v>
      </c>
      <c r="W21" s="1393" t="s">
        <v>1051</v>
      </c>
    </row>
    <row r="22" spans="1:23" ht="17.100000000000001" customHeight="1">
      <c r="A22" s="1377" t="s">
        <v>1105</v>
      </c>
      <c r="B22" s="1381">
        <v>140676</v>
      </c>
      <c r="C22" s="1381">
        <v>22695</v>
      </c>
      <c r="D22" s="1381">
        <v>163371</v>
      </c>
      <c r="E22" s="1381">
        <v>5674</v>
      </c>
      <c r="F22" s="1381">
        <v>169045</v>
      </c>
      <c r="G22" s="1381">
        <v>127371</v>
      </c>
      <c r="H22" s="1381">
        <v>22028</v>
      </c>
      <c r="I22" s="1381">
        <v>149399</v>
      </c>
      <c r="J22" s="1381">
        <v>75000</v>
      </c>
      <c r="K22" s="1381">
        <v>3317</v>
      </c>
      <c r="L22" s="1381">
        <v>786</v>
      </c>
      <c r="M22" s="1381">
        <v>1373</v>
      </c>
      <c r="N22" s="1381">
        <v>80476</v>
      </c>
      <c r="O22" s="1381">
        <v>157</v>
      </c>
      <c r="P22" s="1381">
        <v>9636</v>
      </c>
      <c r="Q22" s="1381">
        <v>0</v>
      </c>
      <c r="R22" s="1381">
        <v>239668</v>
      </c>
      <c r="S22" s="1381">
        <v>-70623</v>
      </c>
      <c r="T22" s="1381">
        <v>15909</v>
      </c>
      <c r="U22" s="1381">
        <v>54714</v>
      </c>
      <c r="V22" s="1381">
        <v>70623</v>
      </c>
      <c r="W22" s="1392" t="s">
        <v>1105</v>
      </c>
    </row>
    <row r="23" spans="1:23" ht="17.100000000000001" customHeight="1">
      <c r="A23" s="1378" t="s">
        <v>1231</v>
      </c>
      <c r="B23" s="1380">
        <v>155400</v>
      </c>
      <c r="C23" s="1380">
        <v>22000</v>
      </c>
      <c r="D23" s="1380">
        <v>177400</v>
      </c>
      <c r="E23" s="1380">
        <v>5027</v>
      </c>
      <c r="F23" s="1380">
        <v>182427</v>
      </c>
      <c r="G23" s="1380">
        <v>150379</v>
      </c>
      <c r="H23" s="1380">
        <v>13372</v>
      </c>
      <c r="I23" s="1380">
        <v>163751</v>
      </c>
      <c r="J23" s="1380">
        <v>91000</v>
      </c>
      <c r="K23" s="1380">
        <v>2687</v>
      </c>
      <c r="L23" s="1380">
        <v>585</v>
      </c>
      <c r="M23" s="1380">
        <v>1636</v>
      </c>
      <c r="N23" s="1380">
        <v>95908</v>
      </c>
      <c r="O23" s="1380">
        <v>201</v>
      </c>
      <c r="P23" s="1380">
        <v>4705</v>
      </c>
      <c r="Q23" s="1380">
        <v>0</v>
      </c>
      <c r="R23" s="1380">
        <v>264565</v>
      </c>
      <c r="S23" s="1380">
        <v>-82138</v>
      </c>
      <c r="T23" s="1380">
        <v>19963</v>
      </c>
      <c r="U23" s="1380">
        <v>62175</v>
      </c>
      <c r="V23" s="1380">
        <v>82138</v>
      </c>
      <c r="W23" s="1393" t="s">
        <v>1231</v>
      </c>
    </row>
    <row r="24" spans="1:23" ht="17.100000000000001" customHeight="1">
      <c r="A24" s="1377" t="s">
        <v>1263</v>
      </c>
      <c r="B24" s="1381">
        <v>192261</v>
      </c>
      <c r="C24" s="1381">
        <v>26239</v>
      </c>
      <c r="D24" s="1381">
        <v>218500</v>
      </c>
      <c r="E24" s="1381">
        <v>4694</v>
      </c>
      <c r="F24" s="1381">
        <v>223194</v>
      </c>
      <c r="G24" s="1381">
        <v>178154</v>
      </c>
      <c r="H24" s="1381">
        <v>14778</v>
      </c>
      <c r="I24" s="1381">
        <v>192932</v>
      </c>
      <c r="J24" s="1381">
        <v>110700</v>
      </c>
      <c r="K24" s="1381">
        <v>2987</v>
      </c>
      <c r="L24" s="1381">
        <v>370</v>
      </c>
      <c r="M24" s="1381">
        <v>1933</v>
      </c>
      <c r="N24" s="1381">
        <v>115990</v>
      </c>
      <c r="O24" s="1381">
        <v>561</v>
      </c>
      <c r="P24" s="1381">
        <v>7691</v>
      </c>
      <c r="Q24" s="1381">
        <v>0</v>
      </c>
      <c r="R24" s="1381">
        <v>317174</v>
      </c>
      <c r="S24" s="1381">
        <v>-93980</v>
      </c>
      <c r="T24" s="1381">
        <v>24077</v>
      </c>
      <c r="U24" s="1381">
        <v>69903</v>
      </c>
      <c r="V24" s="1381">
        <v>93980</v>
      </c>
      <c r="W24" s="1392" t="s">
        <v>1263</v>
      </c>
    </row>
    <row r="25" spans="1:23" ht="17.100000000000001" customHeight="1">
      <c r="A25" s="1378" t="s">
        <v>1392</v>
      </c>
      <c r="B25" s="1380">
        <v>232202</v>
      </c>
      <c r="C25" s="1380">
        <v>27252</v>
      </c>
      <c r="D25" s="1380">
        <v>259454</v>
      </c>
      <c r="E25" s="1380">
        <v>4457</v>
      </c>
      <c r="F25" s="1380">
        <v>263911</v>
      </c>
      <c r="G25" s="1380">
        <v>193828</v>
      </c>
      <c r="H25" s="1380">
        <v>16750</v>
      </c>
      <c r="I25" s="1380">
        <v>210578</v>
      </c>
      <c r="J25" s="1380">
        <v>148381</v>
      </c>
      <c r="K25" s="1380">
        <v>3140</v>
      </c>
      <c r="L25" s="1380">
        <v>261</v>
      </c>
      <c r="M25" s="1380">
        <v>1906</v>
      </c>
      <c r="N25" s="1380">
        <v>153688</v>
      </c>
      <c r="O25" s="1385">
        <v>3894</v>
      </c>
      <c r="P25" s="1380">
        <v>3335</v>
      </c>
      <c r="Q25" s="1380">
        <v>0</v>
      </c>
      <c r="R25" s="1380">
        <v>371495</v>
      </c>
      <c r="S25" s="1380">
        <v>-107584</v>
      </c>
      <c r="T25" s="1380">
        <v>41567</v>
      </c>
      <c r="U25" s="1380">
        <v>66017</v>
      </c>
      <c r="V25" s="1380">
        <v>107584</v>
      </c>
      <c r="W25" s="1393" t="s">
        <v>1392</v>
      </c>
    </row>
    <row r="26" spans="1:23" ht="17.100000000000001" customHeight="1">
      <c r="A26" s="1377" t="s">
        <v>1511</v>
      </c>
      <c r="B26" s="1381">
        <v>289600</v>
      </c>
      <c r="C26" s="1381">
        <v>27012</v>
      </c>
      <c r="D26" s="1381">
        <v>316612</v>
      </c>
      <c r="E26" s="1381">
        <v>3787</v>
      </c>
      <c r="F26" s="1381">
        <v>320399</v>
      </c>
      <c r="G26" s="1381">
        <v>247747</v>
      </c>
      <c r="H26" s="1381">
        <v>18981</v>
      </c>
      <c r="I26" s="1381">
        <v>266728</v>
      </c>
      <c r="J26" s="1381">
        <v>167000</v>
      </c>
      <c r="K26" s="1381">
        <v>4143</v>
      </c>
      <c r="L26" s="1381">
        <v>299</v>
      </c>
      <c r="M26" s="1381">
        <v>2007</v>
      </c>
      <c r="N26" s="1381">
        <v>173449</v>
      </c>
      <c r="O26" s="1381">
        <v>282</v>
      </c>
      <c r="P26" s="1381">
        <v>2082</v>
      </c>
      <c r="Q26" s="1381">
        <v>0</v>
      </c>
      <c r="R26" s="1381">
        <v>442541</v>
      </c>
      <c r="S26" s="1381">
        <v>-122142</v>
      </c>
      <c r="T26" s="1381">
        <v>43397</v>
      </c>
      <c r="U26" s="1381">
        <v>78745</v>
      </c>
      <c r="V26" s="1381">
        <v>122142</v>
      </c>
      <c r="W26" s="1392" t="s">
        <v>1511</v>
      </c>
    </row>
    <row r="27" spans="1:23" ht="17.100000000000001" customHeight="1">
      <c r="A27" s="1378" t="s">
        <v>1602</v>
      </c>
      <c r="B27" s="1380">
        <v>313068</v>
      </c>
      <c r="C27" s="1380">
        <v>35001</v>
      </c>
      <c r="D27" s="1380">
        <v>348069</v>
      </c>
      <c r="E27" s="1380">
        <v>3454</v>
      </c>
      <c r="F27" s="1380">
        <v>351523</v>
      </c>
      <c r="G27" s="1380">
        <v>274907</v>
      </c>
      <c r="H27" s="1380">
        <v>20373</v>
      </c>
      <c r="I27" s="1380">
        <v>295280</v>
      </c>
      <c r="J27" s="1380">
        <v>192921</v>
      </c>
      <c r="K27" s="1380">
        <v>4846</v>
      </c>
      <c r="L27" s="1380">
        <v>1833</v>
      </c>
      <c r="M27" s="1380">
        <v>2749</v>
      </c>
      <c r="N27" s="1380">
        <v>202349</v>
      </c>
      <c r="O27" s="1380">
        <v>654</v>
      </c>
      <c r="P27" s="1380">
        <v>3294</v>
      </c>
      <c r="Q27" s="1380">
        <v>0</v>
      </c>
      <c r="R27" s="1380">
        <v>501577</v>
      </c>
      <c r="S27" s="1380">
        <v>-150054</v>
      </c>
      <c r="T27" s="1380">
        <v>52709</v>
      </c>
      <c r="U27" s="1380">
        <v>97345</v>
      </c>
      <c r="V27" s="1380">
        <v>150054</v>
      </c>
      <c r="W27" s="1393" t="s">
        <v>1602</v>
      </c>
    </row>
    <row r="28" spans="1:23" ht="17.100000000000001" customHeight="1">
      <c r="A28" s="1377" t="s">
        <v>1668</v>
      </c>
      <c r="B28" s="1381">
        <v>316000</v>
      </c>
      <c r="C28" s="1381">
        <v>35532</v>
      </c>
      <c r="D28" s="1381">
        <v>351532</v>
      </c>
      <c r="E28" s="1381">
        <v>3985</v>
      </c>
      <c r="F28" s="1381">
        <v>355517</v>
      </c>
      <c r="G28" s="1381">
        <v>302547</v>
      </c>
      <c r="H28" s="1381">
        <v>21141</v>
      </c>
      <c r="I28" s="1381">
        <v>323688</v>
      </c>
      <c r="J28" s="1381">
        <v>197643</v>
      </c>
      <c r="K28" s="1381">
        <v>4610</v>
      </c>
      <c r="L28" s="1381">
        <v>3239</v>
      </c>
      <c r="M28" s="1381">
        <v>2532</v>
      </c>
      <c r="N28" s="1381">
        <v>208024</v>
      </c>
      <c r="O28" s="1384">
        <v>2553</v>
      </c>
      <c r="P28" s="1381">
        <v>4718</v>
      </c>
      <c r="Q28" s="1381">
        <v>0</v>
      </c>
      <c r="R28" s="1381">
        <v>538983</v>
      </c>
      <c r="S28" s="1381">
        <v>-183466</v>
      </c>
      <c r="T28" s="1381">
        <v>68414</v>
      </c>
      <c r="U28" s="1381">
        <v>115052</v>
      </c>
      <c r="V28" s="1381">
        <v>183466</v>
      </c>
      <c r="W28" s="1392" t="s">
        <v>1668</v>
      </c>
    </row>
    <row r="29" spans="1:23" ht="17.100000000000001" customHeight="1">
      <c r="A29" s="1378" t="s">
        <v>2018</v>
      </c>
      <c r="B29" s="1380">
        <v>346000</v>
      </c>
      <c r="C29" s="1380">
        <v>43000</v>
      </c>
      <c r="D29" s="1380">
        <v>389000</v>
      </c>
      <c r="E29" s="1380">
        <v>3192</v>
      </c>
      <c r="F29" s="1380">
        <v>392192</v>
      </c>
      <c r="G29" s="1380">
        <v>340572</v>
      </c>
      <c r="H29" s="1380">
        <v>26055</v>
      </c>
      <c r="I29" s="1380">
        <v>366627</v>
      </c>
      <c r="J29" s="1380">
        <v>209977</v>
      </c>
      <c r="K29" s="1380">
        <v>6336</v>
      </c>
      <c r="L29" s="1380">
        <v>3040</v>
      </c>
      <c r="M29" s="1380">
        <v>2595</v>
      </c>
      <c r="N29" s="1380">
        <v>221948</v>
      </c>
      <c r="O29" s="1380">
        <v>136</v>
      </c>
      <c r="P29" s="1380">
        <v>4789</v>
      </c>
      <c r="Q29" s="1380">
        <v>0</v>
      </c>
      <c r="R29" s="1380">
        <v>593500</v>
      </c>
      <c r="S29" s="1380">
        <v>-201308</v>
      </c>
      <c r="T29" s="1380">
        <v>77020</v>
      </c>
      <c r="U29" s="1380">
        <v>124288</v>
      </c>
      <c r="V29" s="1380">
        <v>201308</v>
      </c>
      <c r="W29" s="1393" t="s">
        <v>2018</v>
      </c>
    </row>
    <row r="30" spans="1:23" ht="17.100000000000001" customHeight="1">
      <c r="A30" s="1377" t="s">
        <v>2299</v>
      </c>
      <c r="B30" s="1381">
        <v>388000</v>
      </c>
      <c r="C30" s="1381">
        <v>45000</v>
      </c>
      <c r="D30" s="1381">
        <v>433000</v>
      </c>
      <c r="E30" s="1381">
        <v>3263</v>
      </c>
      <c r="F30" s="1381">
        <v>436263</v>
      </c>
      <c r="G30" s="1381">
        <v>390085</v>
      </c>
      <c r="H30" s="1381">
        <v>24198</v>
      </c>
      <c r="I30" s="1381">
        <v>414283</v>
      </c>
      <c r="J30" s="1381">
        <v>227566</v>
      </c>
      <c r="K30" s="1381">
        <v>7436</v>
      </c>
      <c r="L30" s="1381">
        <v>3732</v>
      </c>
      <c r="M30" s="1381">
        <v>2873</v>
      </c>
      <c r="N30" s="1381">
        <v>241607</v>
      </c>
      <c r="O30" s="1384">
        <v>1097</v>
      </c>
      <c r="P30" s="1381">
        <v>3520</v>
      </c>
      <c r="Q30" s="1381">
        <v>0</v>
      </c>
      <c r="R30" s="1381">
        <v>660507</v>
      </c>
      <c r="S30" s="1381">
        <v>-224244</v>
      </c>
      <c r="T30" s="1381">
        <v>83819</v>
      </c>
      <c r="U30" s="1381">
        <v>140425</v>
      </c>
      <c r="V30" s="1381">
        <v>224244</v>
      </c>
      <c r="W30" s="1392" t="s">
        <v>2299</v>
      </c>
    </row>
    <row r="31" spans="1:23" ht="23.25" thickBot="1">
      <c r="A31" s="1547" t="s">
        <v>2488</v>
      </c>
      <c r="B31" s="1548">
        <v>450000</v>
      </c>
      <c r="C31" s="1548">
        <v>50000</v>
      </c>
      <c r="D31" s="1548">
        <v>500000</v>
      </c>
      <c r="E31" s="1548">
        <v>3900</v>
      </c>
      <c r="F31" s="1548">
        <v>503900</v>
      </c>
      <c r="G31" s="1548">
        <v>436247</v>
      </c>
      <c r="H31" s="1548">
        <v>39034</v>
      </c>
      <c r="I31" s="1548">
        <v>475281</v>
      </c>
      <c r="J31" s="1548">
        <v>263000</v>
      </c>
      <c r="K31" s="1548">
        <v>7986</v>
      </c>
      <c r="L31" s="1548">
        <v>3768</v>
      </c>
      <c r="M31" s="1548">
        <v>2828</v>
      </c>
      <c r="N31" s="1548">
        <v>277582</v>
      </c>
      <c r="O31" s="1548">
        <v>502</v>
      </c>
      <c r="P31" s="1548">
        <v>8420</v>
      </c>
      <c r="Q31" s="1548">
        <v>0</v>
      </c>
      <c r="R31" s="1548">
        <v>761785</v>
      </c>
      <c r="S31" s="1548">
        <v>-257885</v>
      </c>
      <c r="T31" s="1549">
        <v>102490</v>
      </c>
      <c r="U31" s="1548">
        <v>155395</v>
      </c>
      <c r="V31" s="1548">
        <v>257885</v>
      </c>
      <c r="W31" s="1550" t="s">
        <v>2488</v>
      </c>
    </row>
    <row r="32" spans="1:23" ht="15">
      <c r="A32" s="1371" t="s">
        <v>1429</v>
      </c>
      <c r="B32" s="1372" t="s">
        <v>2349</v>
      </c>
      <c r="C32" s="1362"/>
      <c r="D32" s="1362"/>
      <c r="E32" s="1362"/>
      <c r="F32" s="1362"/>
      <c r="G32" s="1373" t="s">
        <v>2350</v>
      </c>
      <c r="H32" s="1374"/>
      <c r="I32" s="1362"/>
      <c r="J32" s="1046"/>
      <c r="K32" s="1046"/>
      <c r="L32" s="1375"/>
      <c r="M32" s="1375"/>
      <c r="N32" s="1375"/>
      <c r="O32" s="1375"/>
      <c r="P32" s="1375"/>
      <c r="Q32" s="1375"/>
      <c r="R32" s="1375"/>
      <c r="S32" s="1375"/>
      <c r="T32" s="1375"/>
      <c r="U32" s="1375"/>
      <c r="V32" s="1376"/>
      <c r="W32" s="1375"/>
    </row>
    <row r="34" spans="12:15">
      <c r="N34" s="1249"/>
      <c r="O34" s="1249"/>
    </row>
    <row r="35" spans="12:15">
      <c r="L35" s="1249"/>
      <c r="M35" s="1249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I1:K1"/>
    <mergeCell ref="L1:M1"/>
    <mergeCell ref="N1:P1"/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workbookViewId="0">
      <selection activeCell="O43" sqref="O43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47" t="s">
        <v>333</v>
      </c>
      <c r="C1" s="2547"/>
      <c r="D1" s="2547"/>
      <c r="E1" s="2547"/>
      <c r="F1" s="2547"/>
      <c r="G1" s="2547"/>
      <c r="H1" s="2547"/>
    </row>
    <row r="2" spans="2:8" s="4" customFormat="1" ht="12">
      <c r="B2" s="2548" t="s">
        <v>1360</v>
      </c>
      <c r="C2" s="2548"/>
      <c r="D2" s="2548"/>
      <c r="E2" s="2548"/>
      <c r="F2" s="2548"/>
      <c r="G2" s="2548"/>
      <c r="H2" s="2548"/>
    </row>
    <row r="3" spans="2:8">
      <c r="B3" s="185"/>
      <c r="C3" s="185"/>
      <c r="D3" s="185"/>
      <c r="E3" s="185"/>
      <c r="F3" s="185"/>
      <c r="G3" s="185"/>
      <c r="H3" s="185"/>
    </row>
    <row r="4" spans="2:8">
      <c r="B4" s="1151"/>
      <c r="C4" s="1151"/>
      <c r="D4" s="1151"/>
      <c r="E4" s="1151"/>
      <c r="F4" s="1151"/>
      <c r="G4" s="1151"/>
      <c r="H4" s="1151"/>
    </row>
    <row r="5" spans="2:8" ht="15" customHeight="1">
      <c r="B5" s="186" t="s">
        <v>403</v>
      </c>
      <c r="C5" s="187" t="s">
        <v>404</v>
      </c>
      <c r="D5" s="1151" t="s">
        <v>405</v>
      </c>
      <c r="E5" s="1151"/>
      <c r="F5" s="1151" t="s">
        <v>406</v>
      </c>
      <c r="G5" s="1151" t="s">
        <v>404</v>
      </c>
      <c r="H5" s="1151" t="s">
        <v>407</v>
      </c>
    </row>
    <row r="6" spans="2:8" ht="15" customHeight="1">
      <c r="B6" s="1151"/>
      <c r="C6" s="187" t="s">
        <v>404</v>
      </c>
      <c r="D6" s="187" t="s">
        <v>408</v>
      </c>
      <c r="E6" s="187"/>
      <c r="F6" s="187"/>
      <c r="G6" s="187" t="s">
        <v>404</v>
      </c>
      <c r="H6" s="187" t="s">
        <v>409</v>
      </c>
    </row>
    <row r="7" spans="2:8" ht="15" customHeight="1">
      <c r="B7" s="1151"/>
      <c r="C7" s="1151"/>
      <c r="D7" s="187"/>
      <c r="E7" s="187"/>
      <c r="F7" s="187"/>
      <c r="G7" s="187"/>
      <c r="H7" s="187"/>
    </row>
    <row r="8" spans="2:8" ht="15" customHeight="1">
      <c r="B8" s="187" t="s">
        <v>410</v>
      </c>
      <c r="C8" s="187" t="s">
        <v>404</v>
      </c>
      <c r="D8" s="187" t="s">
        <v>411</v>
      </c>
      <c r="E8" s="187"/>
      <c r="F8" s="187" t="s">
        <v>412</v>
      </c>
      <c r="G8" s="187" t="s">
        <v>404</v>
      </c>
      <c r="H8" s="187" t="s">
        <v>413</v>
      </c>
    </row>
    <row r="9" spans="2:8" ht="15" customHeight="1">
      <c r="B9" s="1151"/>
      <c r="C9" s="187"/>
      <c r="D9" s="187"/>
      <c r="E9" s="187"/>
      <c r="F9" s="187"/>
      <c r="G9" s="187" t="s">
        <v>404</v>
      </c>
      <c r="H9" s="187" t="s">
        <v>415</v>
      </c>
    </row>
    <row r="10" spans="2:8" ht="15" customHeight="1">
      <c r="B10" s="1151"/>
      <c r="C10" s="187"/>
      <c r="D10" s="187"/>
      <c r="E10" s="187"/>
      <c r="F10" s="187"/>
      <c r="G10" s="187"/>
      <c r="H10" s="187"/>
    </row>
    <row r="11" spans="2:8" ht="15" customHeight="1">
      <c r="B11" s="187" t="s">
        <v>416</v>
      </c>
      <c r="C11" s="187" t="s">
        <v>404</v>
      </c>
      <c r="D11" s="187" t="s">
        <v>417</v>
      </c>
      <c r="E11" s="187"/>
      <c r="F11" s="187" t="s">
        <v>418</v>
      </c>
      <c r="G11" s="187" t="s">
        <v>404</v>
      </c>
      <c r="H11" s="187" t="s">
        <v>419</v>
      </c>
    </row>
    <row r="12" spans="2:8" ht="15" customHeight="1">
      <c r="B12" s="187" t="s">
        <v>420</v>
      </c>
      <c r="C12" s="187" t="s">
        <v>404</v>
      </c>
      <c r="D12" s="187" t="s">
        <v>421</v>
      </c>
      <c r="E12" s="187"/>
      <c r="F12" s="187"/>
      <c r="G12" s="187" t="s">
        <v>404</v>
      </c>
      <c r="H12" s="187" t="s">
        <v>422</v>
      </c>
    </row>
    <row r="13" spans="2:8" ht="15" customHeight="1">
      <c r="B13" s="187"/>
      <c r="C13" s="187"/>
      <c r="D13" s="187"/>
      <c r="E13" s="187"/>
      <c r="F13" s="187"/>
      <c r="G13" s="187"/>
      <c r="H13" s="187"/>
    </row>
    <row r="14" spans="2:8" ht="15" customHeight="1">
      <c r="B14" s="187"/>
      <c r="C14" s="187"/>
      <c r="D14" s="187"/>
      <c r="E14" s="187"/>
      <c r="F14" s="187" t="s">
        <v>423</v>
      </c>
      <c r="G14" s="187" t="s">
        <v>404</v>
      </c>
      <c r="H14" s="187" t="s">
        <v>424</v>
      </c>
    </row>
    <row r="15" spans="2:8" ht="15" customHeight="1">
      <c r="B15" s="187" t="s">
        <v>425</v>
      </c>
      <c r="C15" s="187" t="s">
        <v>404</v>
      </c>
      <c r="D15" s="187" t="s">
        <v>426</v>
      </c>
      <c r="E15" s="187"/>
      <c r="F15" s="187"/>
      <c r="G15" s="187" t="s">
        <v>404</v>
      </c>
      <c r="H15" s="187" t="s">
        <v>427</v>
      </c>
    </row>
    <row r="16" spans="2:8" ht="15" customHeight="1">
      <c r="B16" s="187"/>
      <c r="C16" s="187" t="s">
        <v>404</v>
      </c>
      <c r="D16" s="187" t="s">
        <v>428</v>
      </c>
      <c r="E16" s="187"/>
      <c r="F16" s="187"/>
      <c r="G16" s="187"/>
      <c r="H16" s="187"/>
    </row>
    <row r="17" spans="2:8" ht="15" customHeight="1">
      <c r="B17" s="187"/>
      <c r="C17" s="187"/>
      <c r="E17" s="187"/>
      <c r="F17" s="187" t="s">
        <v>429</v>
      </c>
      <c r="G17" s="187" t="s">
        <v>404</v>
      </c>
      <c r="H17" s="187" t="s">
        <v>430</v>
      </c>
    </row>
    <row r="18" spans="2:8" ht="15" customHeight="1">
      <c r="B18" s="188" t="s">
        <v>431</v>
      </c>
      <c r="C18" s="187" t="s">
        <v>404</v>
      </c>
      <c r="D18" s="187" t="s">
        <v>434</v>
      </c>
      <c r="E18" s="187"/>
      <c r="F18" s="187" t="s">
        <v>432</v>
      </c>
      <c r="G18" s="187" t="s">
        <v>404</v>
      </c>
      <c r="H18" s="187" t="s">
        <v>433</v>
      </c>
    </row>
    <row r="19" spans="2:8" ht="15" customHeight="1">
      <c r="B19" s="2"/>
      <c r="C19" s="187" t="s">
        <v>404</v>
      </c>
      <c r="D19" s="188" t="s">
        <v>1248</v>
      </c>
      <c r="E19" s="187"/>
      <c r="F19" s="187" t="s">
        <v>491</v>
      </c>
      <c r="G19" s="187" t="s">
        <v>404</v>
      </c>
      <c r="H19" s="187" t="s">
        <v>435</v>
      </c>
    </row>
    <row r="20" spans="2:8" ht="15" customHeight="1">
      <c r="B20" s="187" t="s">
        <v>436</v>
      </c>
      <c r="C20" s="187" t="s">
        <v>404</v>
      </c>
      <c r="D20" s="187" t="s">
        <v>437</v>
      </c>
      <c r="E20" s="187"/>
      <c r="F20" s="187" t="s">
        <v>438</v>
      </c>
      <c r="G20" s="187" t="s">
        <v>404</v>
      </c>
      <c r="H20" s="187" t="s">
        <v>439</v>
      </c>
    </row>
    <row r="21" spans="2:8" ht="15" customHeight="1">
      <c r="B21" s="187"/>
      <c r="C21" s="187" t="s">
        <v>404</v>
      </c>
      <c r="D21" s="187" t="s">
        <v>440</v>
      </c>
      <c r="E21" s="187"/>
      <c r="F21" s="187" t="s">
        <v>441</v>
      </c>
      <c r="G21" s="187" t="s">
        <v>404</v>
      </c>
      <c r="H21" s="187" t="s">
        <v>442</v>
      </c>
    </row>
    <row r="22" spans="2:8" ht="15" customHeight="1">
      <c r="B22" s="187"/>
      <c r="C22" s="187" t="s">
        <v>404</v>
      </c>
      <c r="D22" s="187" t="s">
        <v>443</v>
      </c>
      <c r="E22" s="187"/>
      <c r="F22" s="187"/>
      <c r="G22" s="187" t="s">
        <v>404</v>
      </c>
      <c r="H22" s="187" t="s">
        <v>446</v>
      </c>
    </row>
    <row r="23" spans="2:8" ht="15" customHeight="1">
      <c r="B23" s="187"/>
      <c r="C23" s="187" t="s">
        <v>404</v>
      </c>
      <c r="D23" s="187" t="s">
        <v>447</v>
      </c>
      <c r="E23" s="187"/>
      <c r="F23" s="187"/>
      <c r="G23" s="187"/>
      <c r="H23" s="187"/>
    </row>
    <row r="24" spans="2:8" ht="15" customHeight="1">
      <c r="B24" s="187"/>
      <c r="C24" s="187"/>
      <c r="D24" s="187"/>
      <c r="E24" s="187"/>
      <c r="F24" s="187" t="s">
        <v>489</v>
      </c>
      <c r="G24" s="187" t="s">
        <v>404</v>
      </c>
      <c r="H24" s="187" t="s">
        <v>451</v>
      </c>
    </row>
    <row r="25" spans="2:8" ht="15" customHeight="1">
      <c r="B25" s="187" t="s">
        <v>452</v>
      </c>
      <c r="C25" s="187" t="s">
        <v>404</v>
      </c>
      <c r="D25" s="187" t="s">
        <v>453</v>
      </c>
      <c r="E25" s="187"/>
      <c r="F25" s="187"/>
      <c r="G25" s="187" t="s">
        <v>404</v>
      </c>
      <c r="H25" s="187" t="s">
        <v>454</v>
      </c>
    </row>
    <row r="26" spans="2:8" ht="15" customHeight="1">
      <c r="B26" s="187"/>
      <c r="C26" s="187" t="s">
        <v>404</v>
      </c>
      <c r="D26" s="187" t="s">
        <v>455</v>
      </c>
      <c r="E26" s="187"/>
      <c r="F26" s="187"/>
      <c r="G26" s="187" t="s">
        <v>404</v>
      </c>
      <c r="H26" s="187" t="s">
        <v>456</v>
      </c>
    </row>
    <row r="27" spans="2:8" ht="15" customHeight="1">
      <c r="B27" s="187"/>
      <c r="C27" s="189" t="s">
        <v>404</v>
      </c>
      <c r="D27" s="189" t="s">
        <v>457</v>
      </c>
      <c r="E27" s="187"/>
      <c r="F27" s="187"/>
      <c r="G27" s="187"/>
      <c r="H27" s="187"/>
    </row>
    <row r="28" spans="2:8" ht="15" customHeight="1">
      <c r="B28" s="187"/>
      <c r="C28" s="187"/>
      <c r="D28" s="187"/>
      <c r="E28" s="187"/>
      <c r="F28" s="187" t="s">
        <v>458</v>
      </c>
      <c r="G28" s="187" t="s">
        <v>404</v>
      </c>
      <c r="H28" s="187" t="s">
        <v>459</v>
      </c>
    </row>
    <row r="29" spans="2:8" ht="15" customHeight="1">
      <c r="B29" s="187" t="s">
        <v>460</v>
      </c>
      <c r="C29" s="187" t="s">
        <v>404</v>
      </c>
      <c r="D29" s="187" t="s">
        <v>461</v>
      </c>
      <c r="E29" s="187"/>
      <c r="F29" s="187" t="s">
        <v>462</v>
      </c>
      <c r="G29" s="187" t="s">
        <v>404</v>
      </c>
      <c r="H29" s="187" t="s">
        <v>463</v>
      </c>
    </row>
    <row r="30" spans="2:8" ht="15" customHeight="1">
      <c r="B30" s="187"/>
      <c r="C30" s="187" t="s">
        <v>404</v>
      </c>
      <c r="D30" s="187" t="s">
        <v>464</v>
      </c>
      <c r="E30" s="187"/>
      <c r="F30" s="187"/>
      <c r="G30" s="187" t="s">
        <v>404</v>
      </c>
      <c r="H30" s="187" t="s">
        <v>465</v>
      </c>
    </row>
    <row r="31" spans="2:8" ht="15" customHeight="1">
      <c r="B31" s="187"/>
      <c r="C31" s="187"/>
      <c r="D31" s="187"/>
      <c r="E31" s="187"/>
      <c r="F31" s="187"/>
      <c r="G31" s="187" t="s">
        <v>404</v>
      </c>
      <c r="H31" s="187" t="s">
        <v>490</v>
      </c>
    </row>
    <row r="32" spans="2:8" ht="15" customHeight="1">
      <c r="B32" s="187" t="s">
        <v>466</v>
      </c>
      <c r="C32" s="187" t="s">
        <v>404</v>
      </c>
      <c r="D32" s="187" t="s">
        <v>467</v>
      </c>
      <c r="E32" s="187"/>
      <c r="F32" s="187"/>
      <c r="G32" s="187" t="s">
        <v>404</v>
      </c>
      <c r="H32" s="187" t="s">
        <v>332</v>
      </c>
    </row>
    <row r="33" spans="2:8" ht="15" customHeight="1">
      <c r="B33" s="187"/>
      <c r="C33" s="187" t="s">
        <v>404</v>
      </c>
      <c r="D33" s="187" t="s">
        <v>468</v>
      </c>
      <c r="E33" s="187"/>
    </row>
    <row r="34" spans="2:8" ht="15" customHeight="1">
      <c r="B34" s="187"/>
      <c r="C34" s="187" t="s">
        <v>404</v>
      </c>
      <c r="D34" s="187" t="s">
        <v>471</v>
      </c>
      <c r="E34" s="187"/>
      <c r="F34" s="187" t="s">
        <v>469</v>
      </c>
      <c r="G34" s="187" t="s">
        <v>404</v>
      </c>
      <c r="H34" s="187" t="s">
        <v>470</v>
      </c>
    </row>
    <row r="35" spans="2:8" ht="15" customHeight="1">
      <c r="B35" s="187"/>
      <c r="C35" s="187"/>
      <c r="D35" s="187"/>
      <c r="E35" s="187"/>
      <c r="F35" s="187" t="s">
        <v>330</v>
      </c>
      <c r="G35" s="187" t="s">
        <v>404</v>
      </c>
      <c r="H35" s="187" t="s">
        <v>331</v>
      </c>
    </row>
    <row r="36" spans="2:8" ht="15" customHeight="1">
      <c r="B36" s="187" t="s">
        <v>472</v>
      </c>
      <c r="C36" s="187" t="s">
        <v>404</v>
      </c>
      <c r="D36" s="187" t="s">
        <v>473</v>
      </c>
      <c r="E36" s="187"/>
      <c r="F36" s="187" t="s">
        <v>760</v>
      </c>
      <c r="G36" s="187" t="s">
        <v>404</v>
      </c>
      <c r="H36" s="187" t="s">
        <v>329</v>
      </c>
    </row>
    <row r="37" spans="2:8" ht="15" customHeight="1" thickBot="1">
      <c r="B37" s="356"/>
      <c r="C37" s="356"/>
      <c r="D37" s="357"/>
      <c r="E37" s="357"/>
      <c r="F37" s="357"/>
      <c r="G37" s="357"/>
      <c r="H37" s="357"/>
    </row>
    <row r="38" spans="2:8" ht="15" customHeight="1">
      <c r="B38" s="2549" t="s">
        <v>1361</v>
      </c>
      <c r="C38" s="2549"/>
      <c r="D38" s="2549"/>
      <c r="E38" s="2549"/>
      <c r="F38" s="2549"/>
      <c r="G38" s="2549"/>
      <c r="H38" s="2549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0"/>
  <sheetViews>
    <sheetView zoomScale="170" zoomScaleNormal="170" workbookViewId="0">
      <pane xSplit="1" ySplit="8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M60" sqref="M60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975"/>
      <c r="B1" s="1975"/>
      <c r="C1" s="1975"/>
      <c r="D1" s="1975"/>
      <c r="E1" s="1975"/>
      <c r="F1" s="1975"/>
      <c r="G1" s="1996" t="s">
        <v>388</v>
      </c>
      <c r="H1" s="1996"/>
      <c r="I1" s="1999" t="s">
        <v>1415</v>
      </c>
      <c r="J1" s="1999"/>
      <c r="K1" s="36"/>
      <c r="L1" s="36"/>
      <c r="M1" s="36"/>
      <c r="N1" s="36"/>
      <c r="O1" s="1996" t="s">
        <v>196</v>
      </c>
      <c r="P1" s="1996"/>
    </row>
    <row r="2" spans="1:16" ht="12" customHeight="1">
      <c r="A2" s="45"/>
      <c r="O2" s="1997" t="s">
        <v>24</v>
      </c>
      <c r="P2" s="1998"/>
    </row>
    <row r="3" spans="1:16" s="175" customFormat="1" ht="15" customHeight="1">
      <c r="A3" s="1917" t="s">
        <v>943</v>
      </c>
      <c r="B3" s="1988" t="s">
        <v>499</v>
      </c>
      <c r="C3" s="1988"/>
      <c r="D3" s="1989"/>
      <c r="E3" s="2002" t="s">
        <v>317</v>
      </c>
      <c r="F3" s="1988"/>
      <c r="G3" s="1988"/>
      <c r="H3" s="1988"/>
      <c r="I3" s="1988" t="s">
        <v>586</v>
      </c>
      <c r="J3" s="1988"/>
      <c r="K3" s="1988"/>
      <c r="L3" s="1486"/>
      <c r="M3" s="1982" t="s">
        <v>946</v>
      </c>
      <c r="N3" s="1982" t="s">
        <v>947</v>
      </c>
      <c r="O3" s="1979" t="s">
        <v>1416</v>
      </c>
      <c r="P3" s="1917" t="s">
        <v>943</v>
      </c>
    </row>
    <row r="4" spans="1:16" s="175" customFormat="1" ht="15" customHeight="1">
      <c r="A4" s="1918"/>
      <c r="B4" s="1990" t="s">
        <v>127</v>
      </c>
      <c r="C4" s="1982" t="s">
        <v>128</v>
      </c>
      <c r="D4" s="1982" t="s">
        <v>1057</v>
      </c>
      <c r="E4" s="1976" t="s">
        <v>181</v>
      </c>
      <c r="F4" s="1977"/>
      <c r="G4" s="1977"/>
      <c r="H4" s="1977"/>
      <c r="I4" s="1977"/>
      <c r="J4" s="1978"/>
      <c r="K4" s="2000" t="s">
        <v>945</v>
      </c>
      <c r="L4" s="1982" t="s">
        <v>595</v>
      </c>
      <c r="M4" s="1983"/>
      <c r="N4" s="1983"/>
      <c r="O4" s="1980"/>
      <c r="P4" s="1918"/>
    </row>
    <row r="5" spans="1:16" s="175" customFormat="1" ht="15" customHeight="1">
      <c r="A5" s="1918"/>
      <c r="B5" s="1991"/>
      <c r="C5" s="1983"/>
      <c r="D5" s="1983"/>
      <c r="E5" s="1985" t="s">
        <v>501</v>
      </c>
      <c r="F5" s="1986"/>
      <c r="G5" s="1987"/>
      <c r="H5" s="1992" t="s">
        <v>184</v>
      </c>
      <c r="I5" s="1993"/>
      <c r="J5" s="1990"/>
      <c r="K5" s="2001"/>
      <c r="L5" s="1983"/>
      <c r="M5" s="1983"/>
      <c r="N5" s="1983"/>
      <c r="O5" s="1980"/>
      <c r="P5" s="1918"/>
    </row>
    <row r="6" spans="1:16" s="175" customFormat="1" ht="15" customHeight="1">
      <c r="A6" s="1918"/>
      <c r="B6" s="1991"/>
      <c r="C6" s="1983"/>
      <c r="D6" s="1983"/>
      <c r="E6" s="1982" t="s">
        <v>127</v>
      </c>
      <c r="F6" s="1982" t="s">
        <v>128</v>
      </c>
      <c r="G6" s="1979" t="s">
        <v>1403</v>
      </c>
      <c r="H6" s="1871" t="s">
        <v>127</v>
      </c>
      <c r="I6" s="1871" t="s">
        <v>128</v>
      </c>
      <c r="J6" s="1994" t="s">
        <v>944</v>
      </c>
      <c r="K6" s="2001"/>
      <c r="L6" s="1983"/>
      <c r="M6" s="1983"/>
      <c r="N6" s="1983"/>
      <c r="O6" s="1980"/>
      <c r="P6" s="1918"/>
    </row>
    <row r="7" spans="1:16" s="175" customFormat="1" ht="15" customHeight="1">
      <c r="A7" s="1918"/>
      <c r="B7" s="1991"/>
      <c r="C7" s="1983"/>
      <c r="D7" s="1983"/>
      <c r="E7" s="1983"/>
      <c r="F7" s="1983"/>
      <c r="G7" s="1980"/>
      <c r="H7" s="1922"/>
      <c r="I7" s="1922"/>
      <c r="J7" s="1995"/>
      <c r="K7" s="2001"/>
      <c r="L7" s="1984"/>
      <c r="M7" s="1983"/>
      <c r="N7" s="1983"/>
      <c r="O7" s="1980"/>
      <c r="P7" s="1918"/>
    </row>
    <row r="8" spans="1:16" s="12" customFormat="1" ht="15" customHeight="1">
      <c r="A8" s="1919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19"/>
    </row>
    <row r="9" spans="1:16" ht="11.85" customHeight="1">
      <c r="A9" s="323" t="s">
        <v>81</v>
      </c>
      <c r="B9" s="480">
        <v>61181</v>
      </c>
      <c r="C9" s="313">
        <v>5868.8</v>
      </c>
      <c r="D9" s="313">
        <f t="shared" ref="D9:D11" si="0">B9+C9</f>
        <v>67049.8</v>
      </c>
      <c r="E9" s="530">
        <v>21471.200000000001</v>
      </c>
      <c r="F9" s="530">
        <v>32781.699999999997</v>
      </c>
      <c r="G9" s="313">
        <f t="shared" ref="G9:G10" si="1">E9+F9</f>
        <v>54252.899999999994</v>
      </c>
      <c r="H9" s="313">
        <v>830.7</v>
      </c>
      <c r="I9" s="530">
        <v>11983.2</v>
      </c>
      <c r="J9" s="313">
        <f t="shared" ref="J9:J10" si="2">H9+I9</f>
        <v>12813.900000000001</v>
      </c>
      <c r="K9" s="309">
        <v>270760.8</v>
      </c>
      <c r="L9" s="304">
        <f t="shared" ref="L9:L10" si="3">G9+J9+K9</f>
        <v>337827.6</v>
      </c>
      <c r="M9" s="530">
        <v>-41846</v>
      </c>
      <c r="N9" s="304">
        <f t="shared" ref="N9" si="4">L9+M9</f>
        <v>295981.59999999998</v>
      </c>
      <c r="O9" s="309">
        <v>363031.2</v>
      </c>
      <c r="P9" s="324" t="s">
        <v>81</v>
      </c>
    </row>
    <row r="10" spans="1:16" s="170" customFormat="1" ht="11.85" customHeight="1">
      <c r="A10" s="525" t="s">
        <v>192</v>
      </c>
      <c r="B10" s="479">
        <v>61342.1</v>
      </c>
      <c r="C10" s="29">
        <v>9231.2999999999993</v>
      </c>
      <c r="D10" s="29">
        <f t="shared" si="0"/>
        <v>70573.399999999994</v>
      </c>
      <c r="E10" s="509">
        <v>31710.5</v>
      </c>
      <c r="F10" s="509">
        <v>41517.4</v>
      </c>
      <c r="G10" s="29">
        <f t="shared" si="1"/>
        <v>73227.899999999994</v>
      </c>
      <c r="H10" s="29">
        <v>776.7</v>
      </c>
      <c r="I10" s="509">
        <v>16175.7</v>
      </c>
      <c r="J10" s="29">
        <f t="shared" si="2"/>
        <v>16952.400000000001</v>
      </c>
      <c r="K10" s="267">
        <v>340712.7</v>
      </c>
      <c r="L10" s="239">
        <f t="shared" si="3"/>
        <v>430893</v>
      </c>
      <c r="M10" s="509">
        <v>-60946.400000000001</v>
      </c>
      <c r="N10" s="239">
        <v>369946.5</v>
      </c>
      <c r="O10" s="267">
        <v>440519.9</v>
      </c>
      <c r="P10" s="520" t="s">
        <v>192</v>
      </c>
    </row>
    <row r="11" spans="1:16" s="170" customFormat="1" ht="11.85" customHeight="1">
      <c r="A11" s="323" t="s">
        <v>757</v>
      </c>
      <c r="B11" s="480">
        <v>68930.100000000006</v>
      </c>
      <c r="C11" s="313">
        <v>9888.6</v>
      </c>
      <c r="D11" s="313">
        <f t="shared" si="0"/>
        <v>78818.700000000012</v>
      </c>
      <c r="E11" s="530">
        <v>37854.9</v>
      </c>
      <c r="F11" s="530">
        <v>53873.9</v>
      </c>
      <c r="G11" s="313">
        <v>91728.9</v>
      </c>
      <c r="H11" s="313">
        <v>1181.9000000000001</v>
      </c>
      <c r="I11" s="530">
        <v>14160.2</v>
      </c>
      <c r="J11" s="313">
        <v>15342.1</v>
      </c>
      <c r="K11" s="309">
        <v>407901.60000000003</v>
      </c>
      <c r="L11" s="304">
        <v>514972.60000000003</v>
      </c>
      <c r="M11" s="530">
        <v>-76681.7</v>
      </c>
      <c r="N11" s="304">
        <v>438290.80000000005</v>
      </c>
      <c r="O11" s="309">
        <v>517109.50000000006</v>
      </c>
      <c r="P11" s="324" t="s">
        <v>757</v>
      </c>
    </row>
    <row r="12" spans="1:16" s="170" customFormat="1" ht="11.85" customHeight="1">
      <c r="A12" s="525" t="s">
        <v>866</v>
      </c>
      <c r="B12" s="479">
        <v>103246</v>
      </c>
      <c r="C12" s="29">
        <v>10004.200000000001</v>
      </c>
      <c r="D12" s="29">
        <v>113250.2</v>
      </c>
      <c r="E12" s="509">
        <v>27069</v>
      </c>
      <c r="F12" s="509">
        <v>83055.600000000006</v>
      </c>
      <c r="G12" s="29">
        <v>110124.6</v>
      </c>
      <c r="H12" s="29">
        <v>1354.5</v>
      </c>
      <c r="I12" s="509">
        <v>8100.8</v>
      </c>
      <c r="J12" s="29">
        <v>9455.2999999999993</v>
      </c>
      <c r="K12" s="267">
        <v>452157.2</v>
      </c>
      <c r="L12" s="239">
        <v>571737.1</v>
      </c>
      <c r="M12" s="509">
        <v>-81481.7</v>
      </c>
      <c r="N12" s="239">
        <f>L12+M12</f>
        <v>490255.39999999997</v>
      </c>
      <c r="O12" s="239">
        <f>D12+N12</f>
        <v>603505.6</v>
      </c>
      <c r="P12" s="520" t="s">
        <v>866</v>
      </c>
    </row>
    <row r="13" spans="1:16" s="267" customFormat="1" ht="11.85" customHeight="1">
      <c r="A13" s="302" t="s">
        <v>1051</v>
      </c>
      <c r="B13" s="304">
        <v>147496.6</v>
      </c>
      <c r="C13" s="304">
        <v>12560</v>
      </c>
      <c r="D13" s="304">
        <v>160056.6</v>
      </c>
      <c r="E13" s="304">
        <v>3840.6</v>
      </c>
      <c r="F13" s="304">
        <v>113688.8</v>
      </c>
      <c r="G13" s="304">
        <v>117529.40000000001</v>
      </c>
      <c r="H13" s="304">
        <v>1202.7</v>
      </c>
      <c r="I13" s="304">
        <v>11534.2</v>
      </c>
      <c r="J13" s="304">
        <v>12736.900000000001</v>
      </c>
      <c r="K13" s="304">
        <v>507639.9</v>
      </c>
      <c r="L13" s="304">
        <v>637906.20000000007</v>
      </c>
      <c r="M13" s="304">
        <v>-97339.3</v>
      </c>
      <c r="N13" s="304">
        <v>540566.9</v>
      </c>
      <c r="O13" s="304">
        <v>700623.5</v>
      </c>
      <c r="P13" s="393" t="s">
        <v>1051</v>
      </c>
    </row>
    <row r="14" spans="1:16" s="267" customFormat="1" ht="11.85" customHeight="1">
      <c r="A14" s="237" t="s">
        <v>1105</v>
      </c>
      <c r="B14" s="484">
        <v>177401.3</v>
      </c>
      <c r="C14" s="484">
        <v>11827.5</v>
      </c>
      <c r="D14" s="483">
        <v>189228.79999999999</v>
      </c>
      <c r="E14" s="483">
        <v>810.5</v>
      </c>
      <c r="F14" s="483">
        <v>109446.8</v>
      </c>
      <c r="G14" s="483">
        <v>110257.3</v>
      </c>
      <c r="H14" s="483">
        <v>2160.8000000000002</v>
      </c>
      <c r="I14" s="483">
        <v>14509</v>
      </c>
      <c r="J14" s="483">
        <v>16669.8</v>
      </c>
      <c r="K14" s="483">
        <v>574599.4</v>
      </c>
      <c r="L14" s="483">
        <v>701526.5</v>
      </c>
      <c r="M14" s="483">
        <v>-103141.2</v>
      </c>
      <c r="N14" s="483">
        <v>598385.30000000005</v>
      </c>
      <c r="O14" s="483">
        <v>787614.10000000009</v>
      </c>
      <c r="P14" s="416" t="s">
        <v>1105</v>
      </c>
    </row>
    <row r="15" spans="1:16" s="98" customFormat="1" ht="11.85" customHeight="1">
      <c r="A15" s="341" t="s">
        <v>1231</v>
      </c>
      <c r="B15" s="304">
        <v>218904.1</v>
      </c>
      <c r="C15" s="304">
        <v>14231.5</v>
      </c>
      <c r="D15" s="304">
        <v>233135.6</v>
      </c>
      <c r="E15" s="304">
        <v>13373.7</v>
      </c>
      <c r="F15" s="304">
        <v>100845.9</v>
      </c>
      <c r="G15" s="304">
        <v>114219.59999999999</v>
      </c>
      <c r="H15" s="304">
        <v>2015.5</v>
      </c>
      <c r="I15" s="304">
        <v>14035.6</v>
      </c>
      <c r="J15" s="304">
        <v>16051.1</v>
      </c>
      <c r="K15" s="304">
        <v>671009.30000000005</v>
      </c>
      <c r="L15" s="304">
        <v>801280</v>
      </c>
      <c r="M15" s="304">
        <v>-118037.8</v>
      </c>
      <c r="N15" s="304">
        <v>683242.2</v>
      </c>
      <c r="O15" s="304">
        <v>916377.79999999993</v>
      </c>
      <c r="P15" s="370" t="s">
        <v>1231</v>
      </c>
    </row>
    <row r="16" spans="1:16" s="261" customFormat="1" ht="11.85" customHeight="1">
      <c r="A16" s="265" t="s">
        <v>1263</v>
      </c>
      <c r="B16" s="239">
        <v>252027</v>
      </c>
      <c r="C16" s="239">
        <v>14670</v>
      </c>
      <c r="D16" s="239">
        <v>266697</v>
      </c>
      <c r="E16" s="239">
        <v>12977.7</v>
      </c>
      <c r="F16" s="239">
        <v>84355.8</v>
      </c>
      <c r="G16" s="239">
        <v>97333.5</v>
      </c>
      <c r="H16" s="239">
        <v>2157.8000000000002</v>
      </c>
      <c r="I16" s="239">
        <v>15122.4</v>
      </c>
      <c r="J16" s="239">
        <v>17280.2</v>
      </c>
      <c r="K16" s="239">
        <v>776056.5</v>
      </c>
      <c r="L16" s="239">
        <v>890670.2</v>
      </c>
      <c r="M16" s="239">
        <v>-141291.1</v>
      </c>
      <c r="N16" s="239">
        <v>749379.1</v>
      </c>
      <c r="O16" s="239">
        <v>1016076.1</v>
      </c>
      <c r="P16" s="394" t="s">
        <v>1263</v>
      </c>
    </row>
    <row r="17" spans="1:19" s="261" customFormat="1" ht="11.85" customHeight="1">
      <c r="A17" s="341" t="s">
        <v>1392</v>
      </c>
      <c r="B17" s="304">
        <v>253509.8</v>
      </c>
      <c r="C17" s="304">
        <v>11164.6</v>
      </c>
      <c r="D17" s="304">
        <v>264674.39999999997</v>
      </c>
      <c r="E17" s="304">
        <v>22572.2</v>
      </c>
      <c r="F17" s="304">
        <v>72322.7</v>
      </c>
      <c r="G17" s="304">
        <v>94894.9</v>
      </c>
      <c r="H17" s="304">
        <v>2367.8000000000002</v>
      </c>
      <c r="I17" s="304">
        <v>16832.3</v>
      </c>
      <c r="J17" s="304">
        <v>19200.099999999999</v>
      </c>
      <c r="K17" s="304">
        <v>907531.6</v>
      </c>
      <c r="L17" s="304">
        <v>1021626.6</v>
      </c>
      <c r="M17" s="304">
        <v>-176320</v>
      </c>
      <c r="N17" s="304">
        <v>845306.6</v>
      </c>
      <c r="O17" s="304">
        <v>1109981</v>
      </c>
      <c r="P17" s="370" t="s">
        <v>1392</v>
      </c>
    </row>
    <row r="18" spans="1:19" s="276" customFormat="1" ht="11.85" customHeight="1">
      <c r="A18" s="168" t="s">
        <v>1511</v>
      </c>
      <c r="B18" s="239">
        <v>257195.4</v>
      </c>
      <c r="C18" s="239">
        <v>15204.1</v>
      </c>
      <c r="D18" s="239">
        <v>272399.5</v>
      </c>
      <c r="E18" s="239">
        <v>31189</v>
      </c>
      <c r="F18" s="239">
        <v>82084.399999999994</v>
      </c>
      <c r="G18" s="239">
        <v>113273.4</v>
      </c>
      <c r="H18" s="239">
        <v>2380.4</v>
      </c>
      <c r="I18" s="239">
        <v>20975.200000000001</v>
      </c>
      <c r="J18" s="239">
        <v>23355.600000000002</v>
      </c>
      <c r="K18" s="239">
        <v>1010255.7</v>
      </c>
      <c r="L18" s="239">
        <v>1146884.7</v>
      </c>
      <c r="M18" s="239">
        <v>-199672.7</v>
      </c>
      <c r="N18" s="239">
        <v>947212</v>
      </c>
      <c r="O18" s="239">
        <v>1219611.5</v>
      </c>
      <c r="P18" s="215" t="s">
        <v>1511</v>
      </c>
    </row>
    <row r="19" spans="1:19" s="170" customFormat="1" ht="11.85" customHeight="1">
      <c r="A19" s="319" t="s">
        <v>1602</v>
      </c>
      <c r="B19" s="304">
        <v>290174.90000000002</v>
      </c>
      <c r="C19" s="304">
        <v>11295.3</v>
      </c>
      <c r="D19" s="304">
        <v>301470.2</v>
      </c>
      <c r="E19" s="304">
        <v>37114.9</v>
      </c>
      <c r="F19" s="304">
        <v>139033.60000000001</v>
      </c>
      <c r="G19" s="304">
        <v>176148.5</v>
      </c>
      <c r="H19" s="304">
        <v>2551.9</v>
      </c>
      <c r="I19" s="304">
        <v>26663.200000000001</v>
      </c>
      <c r="J19" s="304">
        <v>29215.100000000002</v>
      </c>
      <c r="K19" s="304">
        <v>1097271</v>
      </c>
      <c r="L19" s="304">
        <v>1302634.6000000001</v>
      </c>
      <c r="M19" s="304">
        <v>-230369.8</v>
      </c>
      <c r="N19" s="304">
        <v>1072264.8</v>
      </c>
      <c r="O19" s="304">
        <v>1373735</v>
      </c>
      <c r="P19" s="320" t="s">
        <v>1602</v>
      </c>
    </row>
    <row r="20" spans="1:19" s="168" customFormat="1" ht="11.85" customHeight="1">
      <c r="A20" s="196" t="s">
        <v>1668</v>
      </c>
      <c r="B20" s="359">
        <v>366917.3</v>
      </c>
      <c r="C20" s="359">
        <v>15420.2</v>
      </c>
      <c r="D20" s="359">
        <v>382337.5</v>
      </c>
      <c r="E20" s="359">
        <v>17285.5</v>
      </c>
      <c r="F20" s="359">
        <v>203740.4</v>
      </c>
      <c r="G20" s="359">
        <v>221025.9</v>
      </c>
      <c r="H20" s="359">
        <v>3218.1</v>
      </c>
      <c r="I20" s="359">
        <v>26799.7</v>
      </c>
      <c r="J20" s="359">
        <v>30017.8</v>
      </c>
      <c r="K20" s="359">
        <v>1188855.3999999999</v>
      </c>
      <c r="L20" s="359">
        <v>1439899.0999999999</v>
      </c>
      <c r="M20" s="359">
        <v>-261341.3</v>
      </c>
      <c r="N20" s="359">
        <v>1178557.7999999998</v>
      </c>
      <c r="O20" s="359">
        <v>1560895.2999999998</v>
      </c>
      <c r="P20" s="489" t="s">
        <v>1668</v>
      </c>
    </row>
    <row r="21" spans="1:19" s="168" customFormat="1" ht="11.85" customHeight="1">
      <c r="A21" s="1077" t="s">
        <v>2018</v>
      </c>
      <c r="B21" s="352">
        <f>B33</f>
        <v>347757.7</v>
      </c>
      <c r="C21" s="352">
        <f t="shared" ref="C21:O21" si="5">C33</f>
        <v>16541.099999999999</v>
      </c>
      <c r="D21" s="352">
        <f t="shared" si="5"/>
        <v>364298.8</v>
      </c>
      <c r="E21" s="352">
        <f t="shared" si="5"/>
        <v>54930</v>
      </c>
      <c r="F21" s="352">
        <f t="shared" si="5"/>
        <v>228384.5</v>
      </c>
      <c r="G21" s="352">
        <f t="shared" si="5"/>
        <v>283314.5</v>
      </c>
      <c r="H21" s="352">
        <f t="shared" si="5"/>
        <v>3435.6</v>
      </c>
      <c r="I21" s="352">
        <f t="shared" si="5"/>
        <v>33763.300000000003</v>
      </c>
      <c r="J21" s="352">
        <f t="shared" si="5"/>
        <v>37198.9</v>
      </c>
      <c r="K21" s="352">
        <f t="shared" si="5"/>
        <v>1351235.5</v>
      </c>
      <c r="L21" s="352">
        <f t="shared" si="5"/>
        <v>1671748.9</v>
      </c>
      <c r="M21" s="352">
        <f t="shared" si="5"/>
        <v>-327925.40000000002</v>
      </c>
      <c r="N21" s="352">
        <f t="shared" si="5"/>
        <v>1343823.5</v>
      </c>
      <c r="O21" s="352">
        <f t="shared" si="5"/>
        <v>1708122.3</v>
      </c>
      <c r="P21" s="322" t="s">
        <v>2018</v>
      </c>
      <c r="Q21" s="778"/>
      <c r="S21" s="778"/>
    </row>
    <row r="22" spans="1:19" s="168" customFormat="1" ht="11.85" customHeight="1">
      <c r="A22" s="148" t="s">
        <v>576</v>
      </c>
      <c r="B22" s="239">
        <v>369407.2</v>
      </c>
      <c r="C22" s="239">
        <v>14441.4</v>
      </c>
      <c r="D22" s="239">
        <f t="shared" ref="D22:D53" si="6">B22+C22</f>
        <v>383848.60000000003</v>
      </c>
      <c r="E22" s="239">
        <v>12440.4</v>
      </c>
      <c r="F22" s="239">
        <v>216694.5</v>
      </c>
      <c r="G22" s="239">
        <f t="shared" ref="G22:G53" si="7">E22+F22</f>
        <v>229134.9</v>
      </c>
      <c r="H22" s="239">
        <v>3170.3</v>
      </c>
      <c r="I22" s="239">
        <v>26966.799999999999</v>
      </c>
      <c r="J22" s="239">
        <f t="shared" ref="J22:J53" si="8">H22+I22</f>
        <v>30137.1</v>
      </c>
      <c r="K22" s="239">
        <f>5821.4+1181189.2</f>
        <v>1187010.5999999999</v>
      </c>
      <c r="L22" s="239">
        <f>G22+J22+K22</f>
        <v>1446282.5999999999</v>
      </c>
      <c r="M22" s="239">
        <v>-252085.2</v>
      </c>
      <c r="N22" s="239">
        <f t="shared" ref="N22:N43" si="9">L22+M22</f>
        <v>1194197.3999999999</v>
      </c>
      <c r="O22" s="239">
        <f t="shared" ref="O22:O43" si="10">D22+N22</f>
        <v>1578046</v>
      </c>
      <c r="P22" s="215" t="s">
        <v>576</v>
      </c>
      <c r="Q22" s="778"/>
      <c r="S22" s="778"/>
    </row>
    <row r="23" spans="1:19" s="168" customFormat="1" ht="11.85" customHeight="1">
      <c r="A23" s="327" t="s">
        <v>577</v>
      </c>
      <c r="B23" s="304">
        <v>370193.5</v>
      </c>
      <c r="C23" s="304">
        <v>17245.099999999999</v>
      </c>
      <c r="D23" s="304">
        <f t="shared" si="6"/>
        <v>387438.6</v>
      </c>
      <c r="E23" s="304">
        <v>6278.9</v>
      </c>
      <c r="F23" s="304">
        <v>218233.4</v>
      </c>
      <c r="G23" s="304">
        <f t="shared" si="7"/>
        <v>224512.3</v>
      </c>
      <c r="H23" s="304">
        <v>3347.7</v>
      </c>
      <c r="I23" s="304">
        <v>26879.599999999999</v>
      </c>
      <c r="J23" s="304">
        <f t="shared" si="8"/>
        <v>30227.3</v>
      </c>
      <c r="K23" s="304">
        <f>5879.3+1188512.1</f>
        <v>1194391.4000000001</v>
      </c>
      <c r="L23" s="304">
        <f t="shared" ref="L23:L32" si="11">G23+J23+K23</f>
        <v>1449131</v>
      </c>
      <c r="M23" s="304">
        <v>-257026.7</v>
      </c>
      <c r="N23" s="304">
        <f t="shared" si="9"/>
        <v>1192104.3</v>
      </c>
      <c r="O23" s="304">
        <f t="shared" si="10"/>
        <v>1579542.9</v>
      </c>
      <c r="P23" s="320" t="s">
        <v>577</v>
      </c>
      <c r="Q23" s="778"/>
      <c r="S23" s="778"/>
    </row>
    <row r="24" spans="1:19" s="168" customFormat="1" ht="11.85" customHeight="1">
      <c r="A24" s="148" t="s">
        <v>571</v>
      </c>
      <c r="B24" s="239">
        <v>361730.3</v>
      </c>
      <c r="C24" s="239">
        <v>15858.6</v>
      </c>
      <c r="D24" s="239">
        <f t="shared" si="6"/>
        <v>377588.89999999997</v>
      </c>
      <c r="E24" s="239">
        <v>7273.4</v>
      </c>
      <c r="F24" s="239">
        <v>220271.5</v>
      </c>
      <c r="G24" s="239">
        <f t="shared" si="7"/>
        <v>227544.9</v>
      </c>
      <c r="H24" s="239">
        <v>3303.2</v>
      </c>
      <c r="I24" s="239">
        <v>27333</v>
      </c>
      <c r="J24" s="239">
        <f t="shared" si="8"/>
        <v>30636.2</v>
      </c>
      <c r="K24" s="239">
        <f>5829.4+1204892.7</f>
        <v>1210722.0999999999</v>
      </c>
      <c r="L24" s="239">
        <f t="shared" si="11"/>
        <v>1468903.2</v>
      </c>
      <c r="M24" s="239">
        <v>-260675.20000000001</v>
      </c>
      <c r="N24" s="239">
        <f t="shared" si="9"/>
        <v>1208228</v>
      </c>
      <c r="O24" s="239">
        <f t="shared" si="10"/>
        <v>1585816.9</v>
      </c>
      <c r="P24" s="215" t="s">
        <v>571</v>
      </c>
      <c r="Q24" s="778"/>
      <c r="S24" s="778"/>
    </row>
    <row r="25" spans="1:19" s="168" customFormat="1" ht="11.85" customHeight="1">
      <c r="A25" s="327" t="s">
        <v>578</v>
      </c>
      <c r="B25" s="304">
        <v>358585.9</v>
      </c>
      <c r="C25" s="304">
        <v>18278.8</v>
      </c>
      <c r="D25" s="304">
        <f>B25+C25</f>
        <v>376864.7</v>
      </c>
      <c r="E25" s="304">
        <v>8393.7000000000007</v>
      </c>
      <c r="F25" s="304">
        <v>222587.8</v>
      </c>
      <c r="G25" s="304">
        <f t="shared" si="7"/>
        <v>230981.5</v>
      </c>
      <c r="H25" s="304">
        <v>3298.4</v>
      </c>
      <c r="I25" s="304">
        <v>28288.7</v>
      </c>
      <c r="J25" s="304">
        <f>H25+I25</f>
        <v>31587.100000000002</v>
      </c>
      <c r="K25" s="304">
        <f>5762.2+1213774.6</f>
        <v>1219536.8</v>
      </c>
      <c r="L25" s="304">
        <f t="shared" si="11"/>
        <v>1482105.4</v>
      </c>
      <c r="M25" s="304">
        <v>-264509.7</v>
      </c>
      <c r="N25" s="304">
        <f t="shared" si="9"/>
        <v>1217595.7</v>
      </c>
      <c r="O25" s="304">
        <f t="shared" si="10"/>
        <v>1594460.4</v>
      </c>
      <c r="P25" s="320" t="s">
        <v>578</v>
      </c>
      <c r="Q25" s="778"/>
      <c r="R25" s="778"/>
    </row>
    <row r="26" spans="1:19" s="168" customFormat="1" ht="11.85" customHeight="1">
      <c r="A26" s="148" t="s">
        <v>579</v>
      </c>
      <c r="B26" s="239">
        <v>352218.6</v>
      </c>
      <c r="C26" s="239">
        <v>13243.3</v>
      </c>
      <c r="D26" s="239">
        <f>B26+C26</f>
        <v>365461.89999999997</v>
      </c>
      <c r="E26" s="239">
        <v>17488.099999999999</v>
      </c>
      <c r="F26" s="239">
        <v>222594.1</v>
      </c>
      <c r="G26" s="239">
        <f t="shared" si="7"/>
        <v>240082.2</v>
      </c>
      <c r="H26" s="239">
        <v>3267.9</v>
      </c>
      <c r="I26" s="239">
        <v>29814.400000000001</v>
      </c>
      <c r="J26" s="239">
        <f t="shared" si="8"/>
        <v>33082.300000000003</v>
      </c>
      <c r="K26" s="239">
        <f>5720.2+1228525.5</f>
        <v>1234245.7</v>
      </c>
      <c r="L26" s="239">
        <f t="shared" si="11"/>
        <v>1507410.2</v>
      </c>
      <c r="M26" s="239">
        <v>-270339.8</v>
      </c>
      <c r="N26" s="239">
        <f t="shared" si="9"/>
        <v>1237070.3999999999</v>
      </c>
      <c r="O26" s="239">
        <f t="shared" si="10"/>
        <v>1602532.2999999998</v>
      </c>
      <c r="P26" s="215" t="s">
        <v>579</v>
      </c>
      <c r="Q26" s="778"/>
      <c r="R26" s="778"/>
    </row>
    <row r="27" spans="1:19" s="168" customFormat="1" ht="11.85" customHeight="1">
      <c r="A27" s="327" t="s">
        <v>572</v>
      </c>
      <c r="B27" s="304">
        <v>354607.3</v>
      </c>
      <c r="C27" s="304">
        <v>14548</v>
      </c>
      <c r="D27" s="304">
        <f t="shared" si="6"/>
        <v>369155.3</v>
      </c>
      <c r="E27" s="304">
        <v>5463.5</v>
      </c>
      <c r="F27" s="304">
        <v>229080.6</v>
      </c>
      <c r="G27" s="304">
        <f t="shared" si="7"/>
        <v>234544.1</v>
      </c>
      <c r="H27" s="304">
        <v>3146.3</v>
      </c>
      <c r="I27" s="304">
        <v>31250.1</v>
      </c>
      <c r="J27" s="304">
        <f t="shared" si="8"/>
        <v>34396.400000000001</v>
      </c>
      <c r="K27" s="304">
        <f>5697.2+1257550.3</f>
        <v>1263247.5</v>
      </c>
      <c r="L27" s="304">
        <f t="shared" si="11"/>
        <v>1532188</v>
      </c>
      <c r="M27" s="304">
        <v>-280708.3</v>
      </c>
      <c r="N27" s="304">
        <f t="shared" si="9"/>
        <v>1251479.7</v>
      </c>
      <c r="O27" s="304">
        <f t="shared" si="10"/>
        <v>1620635</v>
      </c>
      <c r="P27" s="320" t="s">
        <v>572</v>
      </c>
      <c r="Q27" s="778"/>
      <c r="R27" s="778"/>
    </row>
    <row r="28" spans="1:19" s="168" customFormat="1" ht="11.85" customHeight="1">
      <c r="A28" s="148" t="s">
        <v>580</v>
      </c>
      <c r="B28" s="239">
        <v>351964.2</v>
      </c>
      <c r="C28" s="239">
        <v>13279.7</v>
      </c>
      <c r="D28" s="239">
        <f t="shared" si="6"/>
        <v>365243.9</v>
      </c>
      <c r="E28" s="239">
        <v>9036.5</v>
      </c>
      <c r="F28" s="239">
        <v>223039.5</v>
      </c>
      <c r="G28" s="239">
        <f t="shared" si="7"/>
        <v>232076</v>
      </c>
      <c r="H28" s="239">
        <v>3478.9</v>
      </c>
      <c r="I28" s="239">
        <v>32899.199999999997</v>
      </c>
      <c r="J28" s="239">
        <f t="shared" si="8"/>
        <v>36378.1</v>
      </c>
      <c r="K28" s="239">
        <f>5733.5+1260523.9</f>
        <v>1266257.3999999999</v>
      </c>
      <c r="L28" s="239">
        <f t="shared" si="11"/>
        <v>1534711.5</v>
      </c>
      <c r="M28" s="239">
        <v>-285835.09999999998</v>
      </c>
      <c r="N28" s="239">
        <f t="shared" si="9"/>
        <v>1248876.3999999999</v>
      </c>
      <c r="O28" s="239">
        <f t="shared" si="10"/>
        <v>1614120.2999999998</v>
      </c>
      <c r="P28" s="215" t="s">
        <v>580</v>
      </c>
      <c r="Q28" s="778"/>
      <c r="R28" s="778"/>
    </row>
    <row r="29" spans="1:19" s="168" customFormat="1" ht="11.85" customHeight="1">
      <c r="A29" s="327" t="s">
        <v>581</v>
      </c>
      <c r="B29" s="304">
        <v>351813.1</v>
      </c>
      <c r="C29" s="304">
        <v>10853.3</v>
      </c>
      <c r="D29" s="304">
        <f t="shared" si="6"/>
        <v>362666.39999999997</v>
      </c>
      <c r="E29" s="304">
        <v>8058.5</v>
      </c>
      <c r="F29" s="304">
        <v>223409.1</v>
      </c>
      <c r="G29" s="304">
        <f t="shared" si="7"/>
        <v>231467.6</v>
      </c>
      <c r="H29" s="304">
        <v>3485.2</v>
      </c>
      <c r="I29" s="304">
        <v>32431.7</v>
      </c>
      <c r="J29" s="304">
        <f t="shared" si="8"/>
        <v>35916.9</v>
      </c>
      <c r="K29" s="304">
        <f>5766.6+1273089.3</f>
        <v>1278855.9000000001</v>
      </c>
      <c r="L29" s="304">
        <f t="shared" si="11"/>
        <v>1546240.4000000001</v>
      </c>
      <c r="M29" s="304">
        <v>-287970.09999999998</v>
      </c>
      <c r="N29" s="304">
        <f t="shared" si="9"/>
        <v>1258270.3000000003</v>
      </c>
      <c r="O29" s="304">
        <f t="shared" si="10"/>
        <v>1620936.7000000002</v>
      </c>
      <c r="P29" s="320" t="s">
        <v>581</v>
      </c>
      <c r="Q29" s="778"/>
      <c r="R29" s="778"/>
    </row>
    <row r="30" spans="1:19" s="168" customFormat="1" ht="11.85" customHeight="1">
      <c r="A30" s="148" t="s">
        <v>573</v>
      </c>
      <c r="B30" s="239">
        <v>344756</v>
      </c>
      <c r="C30" s="239">
        <v>11645.3</v>
      </c>
      <c r="D30" s="239">
        <f t="shared" si="6"/>
        <v>356401.3</v>
      </c>
      <c r="E30" s="239">
        <v>12804.3</v>
      </c>
      <c r="F30" s="239">
        <v>222689.2</v>
      </c>
      <c r="G30" s="239">
        <f t="shared" si="7"/>
        <v>235493.5</v>
      </c>
      <c r="H30" s="239">
        <v>3488.5</v>
      </c>
      <c r="I30" s="239">
        <v>32290.3</v>
      </c>
      <c r="J30" s="239">
        <f t="shared" si="8"/>
        <v>35778.800000000003</v>
      </c>
      <c r="K30" s="239">
        <f>5784.3+1285654.3</f>
        <v>1291438.6000000001</v>
      </c>
      <c r="L30" s="239">
        <f>G30+J30+K30</f>
        <v>1562710.9000000001</v>
      </c>
      <c r="M30" s="239">
        <v>-289205.90000000002</v>
      </c>
      <c r="N30" s="239">
        <f t="shared" si="9"/>
        <v>1273505</v>
      </c>
      <c r="O30" s="239">
        <f t="shared" si="10"/>
        <v>1629906.3</v>
      </c>
      <c r="P30" s="215" t="s">
        <v>573</v>
      </c>
      <c r="Q30" s="778"/>
      <c r="R30" s="778"/>
    </row>
    <row r="31" spans="1:19" s="168" customFormat="1" ht="11.85" customHeight="1">
      <c r="A31" s="327" t="s">
        <v>582</v>
      </c>
      <c r="B31" s="304">
        <v>337440.8</v>
      </c>
      <c r="C31" s="304">
        <v>13395.8</v>
      </c>
      <c r="D31" s="304">
        <f t="shared" si="6"/>
        <v>350836.6</v>
      </c>
      <c r="E31" s="304">
        <v>32555.3</v>
      </c>
      <c r="F31" s="304">
        <v>221973.9</v>
      </c>
      <c r="G31" s="304">
        <f t="shared" si="7"/>
        <v>254529.19999999998</v>
      </c>
      <c r="H31" s="304">
        <v>3494.9</v>
      </c>
      <c r="I31" s="304">
        <v>32414.6</v>
      </c>
      <c r="J31" s="304">
        <f t="shared" si="8"/>
        <v>35909.5</v>
      </c>
      <c r="K31" s="304">
        <f>5897.9+1303732.9</f>
        <v>1309630.7999999998</v>
      </c>
      <c r="L31" s="304">
        <f t="shared" si="11"/>
        <v>1600069.4999999998</v>
      </c>
      <c r="M31" s="304">
        <v>-287201.40000000002</v>
      </c>
      <c r="N31" s="304">
        <f t="shared" si="9"/>
        <v>1312868.0999999996</v>
      </c>
      <c r="O31" s="304">
        <f t="shared" si="10"/>
        <v>1663704.6999999997</v>
      </c>
      <c r="P31" s="320" t="s">
        <v>582</v>
      </c>
      <c r="Q31" s="778"/>
      <c r="R31" s="778"/>
    </row>
    <row r="32" spans="1:19" s="168" customFormat="1" ht="11.85" customHeight="1">
      <c r="A32" s="148" t="s">
        <v>583</v>
      </c>
      <c r="B32" s="239">
        <v>343397.9</v>
      </c>
      <c r="C32" s="239">
        <v>11397.9</v>
      </c>
      <c r="D32" s="239">
        <f t="shared" si="6"/>
        <v>354795.80000000005</v>
      </c>
      <c r="E32" s="239">
        <v>28363.5</v>
      </c>
      <c r="F32" s="239">
        <v>222820.9</v>
      </c>
      <c r="G32" s="239">
        <f t="shared" si="7"/>
        <v>251184.4</v>
      </c>
      <c r="H32" s="239">
        <v>3429.6</v>
      </c>
      <c r="I32" s="239">
        <v>33450.5</v>
      </c>
      <c r="J32" s="239">
        <f t="shared" si="8"/>
        <v>36880.1</v>
      </c>
      <c r="K32" s="239">
        <f>5840+1317642.4</f>
        <v>1323482.3999999999</v>
      </c>
      <c r="L32" s="239">
        <f t="shared" si="11"/>
        <v>1611546.9</v>
      </c>
      <c r="M32" s="239">
        <v>-303705.59999999998</v>
      </c>
      <c r="N32" s="239">
        <f t="shared" si="9"/>
        <v>1307841.2999999998</v>
      </c>
      <c r="O32" s="239">
        <f t="shared" si="10"/>
        <v>1662637.0999999999</v>
      </c>
      <c r="P32" s="215" t="s">
        <v>583</v>
      </c>
      <c r="Q32" s="778"/>
      <c r="R32" s="778"/>
    </row>
    <row r="33" spans="1:18" s="168" customFormat="1" ht="11.85" customHeight="1">
      <c r="A33" s="327" t="s">
        <v>574</v>
      </c>
      <c r="B33" s="304">
        <v>347757.7</v>
      </c>
      <c r="C33" s="304">
        <v>16541.099999999999</v>
      </c>
      <c r="D33" s="304">
        <f t="shared" si="6"/>
        <v>364298.8</v>
      </c>
      <c r="E33" s="304">
        <v>54930</v>
      </c>
      <c r="F33" s="304">
        <v>228384.5</v>
      </c>
      <c r="G33" s="304">
        <f t="shared" si="7"/>
        <v>283314.5</v>
      </c>
      <c r="H33" s="304">
        <v>3435.6</v>
      </c>
      <c r="I33" s="304">
        <v>33763.300000000003</v>
      </c>
      <c r="J33" s="304">
        <f t="shared" si="8"/>
        <v>37198.9</v>
      </c>
      <c r="K33" s="304">
        <f>5935.9+1345299.6</f>
        <v>1351235.5</v>
      </c>
      <c r="L33" s="304">
        <f>G33+J33+K33</f>
        <v>1671748.9</v>
      </c>
      <c r="M33" s="304">
        <v>-327925.40000000002</v>
      </c>
      <c r="N33" s="304">
        <f t="shared" si="9"/>
        <v>1343823.5</v>
      </c>
      <c r="O33" s="304">
        <f>D33+N33</f>
        <v>1708122.3</v>
      </c>
      <c r="P33" s="320" t="s">
        <v>574</v>
      </c>
      <c r="Q33" s="778"/>
      <c r="R33" s="778"/>
    </row>
    <row r="34" spans="1:18" s="265" customFormat="1" ht="11.85" customHeight="1">
      <c r="A34" s="936" t="s">
        <v>2300</v>
      </c>
      <c r="B34" s="359">
        <f>B46</f>
        <v>287497.5</v>
      </c>
      <c r="C34" s="359">
        <f t="shared" ref="C34:O34" si="12">C46</f>
        <v>29230.799999999999</v>
      </c>
      <c r="D34" s="359">
        <f t="shared" si="12"/>
        <v>316728.3</v>
      </c>
      <c r="E34" s="359">
        <f t="shared" si="12"/>
        <v>157411.9</v>
      </c>
      <c r="F34" s="359">
        <f t="shared" si="12"/>
        <v>229938</v>
      </c>
      <c r="G34" s="359">
        <f t="shared" si="12"/>
        <v>387349.9</v>
      </c>
      <c r="H34" s="359">
        <f t="shared" si="12"/>
        <v>3893.4</v>
      </c>
      <c r="I34" s="359">
        <f t="shared" si="12"/>
        <v>41271.300000000003</v>
      </c>
      <c r="J34" s="359">
        <f t="shared" si="12"/>
        <v>45164.700000000004</v>
      </c>
      <c r="K34" s="359">
        <f t="shared" si="12"/>
        <v>1494254.6</v>
      </c>
      <c r="L34" s="359">
        <f t="shared" si="12"/>
        <v>1926769.2000000002</v>
      </c>
      <c r="M34" s="359">
        <f t="shared" si="12"/>
        <v>-356329.4</v>
      </c>
      <c r="N34" s="359">
        <f t="shared" si="12"/>
        <v>1570439.8000000003</v>
      </c>
      <c r="O34" s="359">
        <f t="shared" si="12"/>
        <v>1887168.1000000003</v>
      </c>
      <c r="P34" s="377" t="s">
        <v>2300</v>
      </c>
      <c r="Q34" s="1649"/>
      <c r="R34" s="1649"/>
    </row>
    <row r="35" spans="1:18" s="168" customFormat="1" ht="11.85" customHeight="1">
      <c r="A35" s="327" t="s">
        <v>576</v>
      </c>
      <c r="B35" s="304">
        <v>341807.3</v>
      </c>
      <c r="C35" s="304">
        <v>15759.5</v>
      </c>
      <c r="D35" s="304">
        <f t="shared" si="6"/>
        <v>357566.8</v>
      </c>
      <c r="E35" s="304">
        <v>52719.199999999997</v>
      </c>
      <c r="F35" s="304">
        <v>229042.5</v>
      </c>
      <c r="G35" s="304">
        <f t="shared" si="7"/>
        <v>281761.7</v>
      </c>
      <c r="H35" s="304">
        <v>3428.2</v>
      </c>
      <c r="I35" s="304">
        <v>34708</v>
      </c>
      <c r="J35" s="304">
        <f t="shared" si="8"/>
        <v>38136.199999999997</v>
      </c>
      <c r="K35" s="304">
        <f>5937.6+1346628.8</f>
        <v>1352566.4000000001</v>
      </c>
      <c r="L35" s="304">
        <f t="shared" ref="L35:L53" si="13">G35+J35+K35</f>
        <v>1672464.3000000003</v>
      </c>
      <c r="M35" s="304">
        <v>-322100.7</v>
      </c>
      <c r="N35" s="304">
        <f t="shared" si="9"/>
        <v>1350363.6000000003</v>
      </c>
      <c r="O35" s="304">
        <f t="shared" si="10"/>
        <v>1707930.4000000004</v>
      </c>
      <c r="P35" s="320" t="s">
        <v>576</v>
      </c>
      <c r="Q35" s="778"/>
      <c r="R35" s="778"/>
    </row>
    <row r="36" spans="1:18" s="168" customFormat="1" ht="11.85" customHeight="1">
      <c r="A36" s="148" t="s">
        <v>577</v>
      </c>
      <c r="B36" s="239">
        <v>323765.90000000002</v>
      </c>
      <c r="C36" s="239">
        <v>16646.2</v>
      </c>
      <c r="D36" s="239">
        <f t="shared" si="6"/>
        <v>340412.10000000003</v>
      </c>
      <c r="E36" s="239">
        <v>61832.1</v>
      </c>
      <c r="F36" s="239">
        <v>226595.3</v>
      </c>
      <c r="G36" s="239">
        <f t="shared" si="7"/>
        <v>288427.39999999997</v>
      </c>
      <c r="H36" s="239">
        <v>3426.3</v>
      </c>
      <c r="I36" s="239">
        <v>35190.400000000001</v>
      </c>
      <c r="J36" s="239">
        <f t="shared" si="8"/>
        <v>38616.700000000004</v>
      </c>
      <c r="K36" s="239">
        <f>5989+1356488.9</f>
        <v>1362477.9</v>
      </c>
      <c r="L36" s="239">
        <f t="shared" si="13"/>
        <v>1689522</v>
      </c>
      <c r="M36" s="239">
        <v>-319120</v>
      </c>
      <c r="N36" s="239">
        <f t="shared" si="9"/>
        <v>1370402</v>
      </c>
      <c r="O36" s="239">
        <f t="shared" si="10"/>
        <v>1710814.1</v>
      </c>
      <c r="P36" s="215" t="s">
        <v>577</v>
      </c>
      <c r="Q36" s="778"/>
      <c r="R36" s="778"/>
    </row>
    <row r="37" spans="1:18" s="168" customFormat="1" ht="11.85" customHeight="1">
      <c r="A37" s="327" t="s">
        <v>571</v>
      </c>
      <c r="B37" s="304">
        <v>319037.09999999998</v>
      </c>
      <c r="C37" s="304">
        <v>16403.7</v>
      </c>
      <c r="D37" s="304">
        <f t="shared" si="6"/>
        <v>335440.8</v>
      </c>
      <c r="E37" s="304">
        <v>71663.399999999994</v>
      </c>
      <c r="F37" s="304">
        <v>220828.7</v>
      </c>
      <c r="G37" s="304">
        <f t="shared" si="7"/>
        <v>292492.09999999998</v>
      </c>
      <c r="H37" s="304">
        <v>3632.8</v>
      </c>
      <c r="I37" s="304">
        <v>34534.699999999997</v>
      </c>
      <c r="J37" s="304">
        <f t="shared" si="8"/>
        <v>38167.5</v>
      </c>
      <c r="K37" s="304">
        <f>6018.9+1373394.3</f>
        <v>1379413.2</v>
      </c>
      <c r="L37" s="304">
        <f t="shared" si="13"/>
        <v>1710072.7999999998</v>
      </c>
      <c r="M37" s="304">
        <v>-322686.09999999998</v>
      </c>
      <c r="N37" s="304">
        <f t="shared" si="9"/>
        <v>1387386.6999999997</v>
      </c>
      <c r="O37" s="304">
        <f t="shared" si="10"/>
        <v>1722827.4999999998</v>
      </c>
      <c r="P37" s="320" t="s">
        <v>571</v>
      </c>
      <c r="Q37" s="778"/>
      <c r="R37" s="778"/>
    </row>
    <row r="38" spans="1:18" s="168" customFormat="1" ht="11.85" customHeight="1">
      <c r="A38" s="148" t="s">
        <v>578</v>
      </c>
      <c r="B38" s="239">
        <v>309740.2</v>
      </c>
      <c r="C38" s="239">
        <v>16736.2</v>
      </c>
      <c r="D38" s="239">
        <f t="shared" si="6"/>
        <v>326476.40000000002</v>
      </c>
      <c r="E38" s="239">
        <v>83478.7</v>
      </c>
      <c r="F38" s="239">
        <v>221666.6</v>
      </c>
      <c r="G38" s="239">
        <f t="shared" si="7"/>
        <v>305145.3</v>
      </c>
      <c r="H38" s="239">
        <v>3631.7</v>
      </c>
      <c r="I38" s="239">
        <v>35160.5</v>
      </c>
      <c r="J38" s="239">
        <f t="shared" si="8"/>
        <v>38792.199999999997</v>
      </c>
      <c r="K38" s="239">
        <f>6147.8+1383000.6</f>
        <v>1389148.4000000001</v>
      </c>
      <c r="L38" s="239">
        <f t="shared" si="13"/>
        <v>1733085.9000000001</v>
      </c>
      <c r="M38" s="239">
        <v>-332793.09999999998</v>
      </c>
      <c r="N38" s="239">
        <f t="shared" si="9"/>
        <v>1400292.8000000003</v>
      </c>
      <c r="O38" s="239">
        <f t="shared" si="10"/>
        <v>1726769.2000000002</v>
      </c>
      <c r="P38" s="215" t="s">
        <v>578</v>
      </c>
      <c r="Q38" s="778"/>
      <c r="R38" s="778"/>
    </row>
    <row r="39" spans="1:18" s="168" customFormat="1" ht="11.85" customHeight="1">
      <c r="A39" s="327" t="s">
        <v>579</v>
      </c>
      <c r="B39" s="304">
        <v>300465.40000000002</v>
      </c>
      <c r="C39" s="304">
        <v>18595.5</v>
      </c>
      <c r="D39" s="304">
        <f t="shared" si="6"/>
        <v>319060.90000000002</v>
      </c>
      <c r="E39" s="304">
        <v>91786.4</v>
      </c>
      <c r="F39" s="304">
        <v>207446.3</v>
      </c>
      <c r="G39" s="304">
        <f t="shared" si="7"/>
        <v>299232.69999999995</v>
      </c>
      <c r="H39" s="304">
        <v>3638.6</v>
      </c>
      <c r="I39" s="304">
        <v>35788.1</v>
      </c>
      <c r="J39" s="304">
        <f t="shared" si="8"/>
        <v>39426.699999999997</v>
      </c>
      <c r="K39" s="304">
        <f>6277.2+1400437.3</f>
        <v>1406714.5</v>
      </c>
      <c r="L39" s="304">
        <f t="shared" si="13"/>
        <v>1745373.9</v>
      </c>
      <c r="M39" s="304">
        <v>-323962.40000000002</v>
      </c>
      <c r="N39" s="304">
        <f t="shared" si="9"/>
        <v>1421411.5</v>
      </c>
      <c r="O39" s="304">
        <f t="shared" si="10"/>
        <v>1740472.4</v>
      </c>
      <c r="P39" s="320" t="s">
        <v>579</v>
      </c>
      <c r="Q39" s="778"/>
      <c r="R39" s="778"/>
    </row>
    <row r="40" spans="1:18" s="168" customFormat="1" ht="11.85" customHeight="1">
      <c r="A40" s="148" t="s">
        <v>572</v>
      </c>
      <c r="B40" s="239">
        <v>297498.09999999998</v>
      </c>
      <c r="C40" s="239">
        <v>21899</v>
      </c>
      <c r="D40" s="239">
        <f t="shared" si="6"/>
        <v>319397.09999999998</v>
      </c>
      <c r="E40" s="239">
        <v>105344.2</v>
      </c>
      <c r="F40" s="239">
        <v>188275.20000000001</v>
      </c>
      <c r="G40" s="239">
        <f t="shared" si="7"/>
        <v>293619.40000000002</v>
      </c>
      <c r="H40" s="239">
        <v>3645.5</v>
      </c>
      <c r="I40" s="239">
        <v>38363.9</v>
      </c>
      <c r="J40" s="239">
        <f t="shared" si="8"/>
        <v>42009.4</v>
      </c>
      <c r="K40" s="239">
        <f>6257.8+1419875.8</f>
        <v>1426133.6</v>
      </c>
      <c r="L40" s="239">
        <f t="shared" si="13"/>
        <v>1761762.4000000001</v>
      </c>
      <c r="M40" s="239">
        <v>-323190.90000000002</v>
      </c>
      <c r="N40" s="239">
        <f t="shared" si="9"/>
        <v>1438571.5</v>
      </c>
      <c r="O40" s="239">
        <f t="shared" si="10"/>
        <v>1757968.6</v>
      </c>
      <c r="P40" s="215" t="s">
        <v>572</v>
      </c>
      <c r="Q40" s="778"/>
      <c r="R40" s="778"/>
    </row>
    <row r="41" spans="1:18" s="168" customFormat="1" ht="11.85" customHeight="1">
      <c r="A41" s="327" t="s">
        <v>580</v>
      </c>
      <c r="B41" s="304">
        <v>290992.7</v>
      </c>
      <c r="C41" s="304">
        <v>23312.5</v>
      </c>
      <c r="D41" s="304">
        <f t="shared" si="6"/>
        <v>314305.2</v>
      </c>
      <c r="E41" s="304">
        <v>107439.6</v>
      </c>
      <c r="F41" s="304">
        <v>196149.5</v>
      </c>
      <c r="G41" s="304">
        <f t="shared" si="7"/>
        <v>303589.09999999998</v>
      </c>
      <c r="H41" s="304">
        <v>3614.9</v>
      </c>
      <c r="I41" s="304">
        <v>39949.1</v>
      </c>
      <c r="J41" s="304">
        <f t="shared" si="8"/>
        <v>43564</v>
      </c>
      <c r="K41" s="304">
        <f>6555.8+1419470.4</f>
        <v>1426026.2</v>
      </c>
      <c r="L41" s="304">
        <f t="shared" si="13"/>
        <v>1773179.2999999998</v>
      </c>
      <c r="M41" s="304">
        <v>-336043.9</v>
      </c>
      <c r="N41" s="304">
        <f t="shared" si="9"/>
        <v>1437135.4</v>
      </c>
      <c r="O41" s="304">
        <f t="shared" si="10"/>
        <v>1751440.5999999999</v>
      </c>
      <c r="P41" s="320" t="s">
        <v>580</v>
      </c>
      <c r="Q41" s="778"/>
      <c r="R41" s="778"/>
    </row>
    <row r="42" spans="1:18" s="168" customFormat="1" ht="11.85" customHeight="1">
      <c r="A42" s="148" t="s">
        <v>581</v>
      </c>
      <c r="B42" s="239">
        <v>286636.7</v>
      </c>
      <c r="C42" s="239">
        <v>27639.3</v>
      </c>
      <c r="D42" s="239">
        <f t="shared" si="6"/>
        <v>314276</v>
      </c>
      <c r="E42" s="239">
        <v>108685.3</v>
      </c>
      <c r="F42" s="239">
        <v>201181.1</v>
      </c>
      <c r="G42" s="239">
        <f t="shared" si="7"/>
        <v>309866.40000000002</v>
      </c>
      <c r="H42" s="239">
        <v>3620.2</v>
      </c>
      <c r="I42" s="239">
        <v>39629.4</v>
      </c>
      <c r="J42" s="239">
        <f t="shared" si="8"/>
        <v>43249.599999999999</v>
      </c>
      <c r="K42" s="239">
        <f>6931.4+1427137.9</f>
        <v>1434069.2999999998</v>
      </c>
      <c r="L42" s="239">
        <f t="shared" si="13"/>
        <v>1787185.2999999998</v>
      </c>
      <c r="M42" s="239">
        <v>-338429.3</v>
      </c>
      <c r="N42" s="239">
        <f t="shared" si="9"/>
        <v>1448755.9999999998</v>
      </c>
      <c r="O42" s="239">
        <f t="shared" si="10"/>
        <v>1763031.9999999998</v>
      </c>
      <c r="P42" s="215" t="s">
        <v>581</v>
      </c>
      <c r="Q42" s="778"/>
      <c r="R42" s="778"/>
    </row>
    <row r="43" spans="1:18" s="168" customFormat="1" ht="11.85" customHeight="1">
      <c r="A43" s="327" t="s">
        <v>573</v>
      </c>
      <c r="B43" s="304">
        <v>282017.7</v>
      </c>
      <c r="C43" s="304">
        <v>27064.799999999999</v>
      </c>
      <c r="D43" s="304">
        <f t="shared" si="6"/>
        <v>309082.5</v>
      </c>
      <c r="E43" s="304">
        <v>111798.3</v>
      </c>
      <c r="F43" s="304">
        <v>212763.6</v>
      </c>
      <c r="G43" s="304">
        <f t="shared" si="7"/>
        <v>324561.90000000002</v>
      </c>
      <c r="H43" s="304">
        <v>3625.7</v>
      </c>
      <c r="I43" s="304">
        <v>40961.4</v>
      </c>
      <c r="J43" s="304">
        <f t="shared" si="8"/>
        <v>44587.1</v>
      </c>
      <c r="K43" s="304">
        <f>7193.1+1439615.2</f>
        <v>1446808.3</v>
      </c>
      <c r="L43" s="304">
        <f t="shared" si="13"/>
        <v>1815957.3</v>
      </c>
      <c r="M43" s="304">
        <v>-346380</v>
      </c>
      <c r="N43" s="304">
        <f t="shared" si="9"/>
        <v>1469577.3</v>
      </c>
      <c r="O43" s="304">
        <f t="shared" si="10"/>
        <v>1778659.8</v>
      </c>
      <c r="P43" s="320" t="s">
        <v>573</v>
      </c>
      <c r="Q43" s="778"/>
      <c r="R43" s="778"/>
    </row>
    <row r="44" spans="1:18" s="168" customFormat="1" ht="11.85" customHeight="1">
      <c r="A44" s="148" t="s">
        <v>582</v>
      </c>
      <c r="B44" s="239">
        <v>275843.59999999998</v>
      </c>
      <c r="C44" s="239">
        <v>28367</v>
      </c>
      <c r="D44" s="239">
        <f t="shared" si="6"/>
        <v>304210.59999999998</v>
      </c>
      <c r="E44" s="239">
        <v>136213.9</v>
      </c>
      <c r="F44" s="239">
        <v>218943.8</v>
      </c>
      <c r="G44" s="239">
        <f t="shared" si="7"/>
        <v>355157.69999999995</v>
      </c>
      <c r="H44" s="239">
        <v>3882.7</v>
      </c>
      <c r="I44" s="239">
        <v>40388.699999999997</v>
      </c>
      <c r="J44" s="239">
        <f t="shared" si="8"/>
        <v>44271.399999999994</v>
      </c>
      <c r="K44" s="239">
        <f>7365.5+1450034</f>
        <v>1457399.5</v>
      </c>
      <c r="L44" s="239">
        <f t="shared" si="13"/>
        <v>1856828.6</v>
      </c>
      <c r="M44" s="239">
        <v>-348848.1</v>
      </c>
      <c r="N44" s="239">
        <f t="shared" ref="N44:N45" si="14">L44+M44</f>
        <v>1507980.5</v>
      </c>
      <c r="O44" s="239">
        <f t="shared" ref="O44:O45" si="15">D44+N44</f>
        <v>1812191.1</v>
      </c>
      <c r="P44" s="215" t="s">
        <v>582</v>
      </c>
      <c r="Q44" s="778"/>
      <c r="R44" s="778"/>
    </row>
    <row r="45" spans="1:18" s="168" customFormat="1" ht="11.85" customHeight="1">
      <c r="A45" s="327" t="s">
        <v>583</v>
      </c>
      <c r="B45" s="304">
        <v>275075.40000000002</v>
      </c>
      <c r="C45" s="304">
        <v>25521.599999999999</v>
      </c>
      <c r="D45" s="304">
        <f t="shared" si="6"/>
        <v>300597</v>
      </c>
      <c r="E45" s="304">
        <v>132882.4</v>
      </c>
      <c r="F45" s="304">
        <v>228303.7</v>
      </c>
      <c r="G45" s="304">
        <f t="shared" si="7"/>
        <v>361186.1</v>
      </c>
      <c r="H45" s="304">
        <v>3886.5</v>
      </c>
      <c r="I45" s="304">
        <v>41065.199999999997</v>
      </c>
      <c r="J45" s="304">
        <f t="shared" si="8"/>
        <v>44951.7</v>
      </c>
      <c r="K45" s="304">
        <f>7530.5+1462793.1</f>
        <v>1470323.6</v>
      </c>
      <c r="L45" s="304">
        <f t="shared" si="13"/>
        <v>1876461.4000000001</v>
      </c>
      <c r="M45" s="304">
        <v>-357148.8</v>
      </c>
      <c r="N45" s="304">
        <f t="shared" si="14"/>
        <v>1519312.6</v>
      </c>
      <c r="O45" s="304">
        <f t="shared" si="15"/>
        <v>1819909.6</v>
      </c>
      <c r="P45" s="320" t="s">
        <v>583</v>
      </c>
      <c r="Q45" s="778"/>
      <c r="R45" s="778"/>
    </row>
    <row r="46" spans="1:18" s="168" customFormat="1" ht="11.85" customHeight="1">
      <c r="A46" s="148" t="s">
        <v>574</v>
      </c>
      <c r="B46" s="239">
        <v>287497.5</v>
      </c>
      <c r="C46" s="239">
        <v>29230.799999999999</v>
      </c>
      <c r="D46" s="239">
        <f t="shared" si="6"/>
        <v>316728.3</v>
      </c>
      <c r="E46" s="239">
        <v>157411.9</v>
      </c>
      <c r="F46" s="239">
        <v>229938</v>
      </c>
      <c r="G46" s="239">
        <f t="shared" si="7"/>
        <v>387349.9</v>
      </c>
      <c r="H46" s="239">
        <v>3893.4</v>
      </c>
      <c r="I46" s="239">
        <v>41271.300000000003</v>
      </c>
      <c r="J46" s="239">
        <f t="shared" si="8"/>
        <v>45164.700000000004</v>
      </c>
      <c r="K46" s="239">
        <f>7350+1486904.6</f>
        <v>1494254.6</v>
      </c>
      <c r="L46" s="239">
        <f t="shared" si="13"/>
        <v>1926769.2000000002</v>
      </c>
      <c r="M46" s="239">
        <v>-356329.4</v>
      </c>
      <c r="N46" s="239">
        <f t="shared" ref="N46" si="16">L46+M46</f>
        <v>1570439.8000000003</v>
      </c>
      <c r="O46" s="239">
        <f t="shared" ref="O46" si="17">D46+N46</f>
        <v>1887168.1000000003</v>
      </c>
      <c r="P46" s="215" t="s">
        <v>574</v>
      </c>
      <c r="Q46" s="778"/>
      <c r="R46" s="778"/>
    </row>
    <row r="47" spans="1:18" s="168" customFormat="1" ht="11.85" customHeight="1">
      <c r="A47" s="1734" t="s">
        <v>2514</v>
      </c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76" t="s">
        <v>2514</v>
      </c>
      <c r="Q47" s="778"/>
      <c r="R47" s="778"/>
    </row>
    <row r="48" spans="1:18" s="168" customFormat="1" ht="11.85" customHeight="1">
      <c r="A48" s="148" t="s">
        <v>576</v>
      </c>
      <c r="B48" s="239">
        <v>284091</v>
      </c>
      <c r="C48" s="239">
        <v>35034.6</v>
      </c>
      <c r="D48" s="239">
        <f t="shared" si="6"/>
        <v>319125.59999999998</v>
      </c>
      <c r="E48" s="239">
        <v>147689</v>
      </c>
      <c r="F48" s="239">
        <v>241998.3</v>
      </c>
      <c r="G48" s="239">
        <f t="shared" si="7"/>
        <v>389687.3</v>
      </c>
      <c r="H48" s="239">
        <v>3786.5</v>
      </c>
      <c r="I48" s="239">
        <v>41250.9</v>
      </c>
      <c r="J48" s="239">
        <f t="shared" si="8"/>
        <v>45037.4</v>
      </c>
      <c r="K48" s="239">
        <f>7308.8+1478136.6</f>
        <v>1485445.4000000001</v>
      </c>
      <c r="L48" s="239">
        <f t="shared" si="13"/>
        <v>1920170.1</v>
      </c>
      <c r="M48" s="239">
        <v>-365045.9</v>
      </c>
      <c r="N48" s="239">
        <f t="shared" ref="N48:N53" si="18">L48+M48</f>
        <v>1555124.2000000002</v>
      </c>
      <c r="O48" s="239">
        <f t="shared" ref="O48" si="19">D48+N48</f>
        <v>1874249.8000000003</v>
      </c>
      <c r="P48" s="215" t="s">
        <v>576</v>
      </c>
      <c r="Q48" s="778"/>
      <c r="R48" s="778"/>
    </row>
    <row r="49" spans="1:18" s="168" customFormat="1" ht="11.85" customHeight="1">
      <c r="A49" s="327" t="s">
        <v>577</v>
      </c>
      <c r="B49" s="304">
        <v>272944.3</v>
      </c>
      <c r="C49" s="304">
        <v>33275.199999999997</v>
      </c>
      <c r="D49" s="304">
        <f t="shared" si="6"/>
        <v>306219.5</v>
      </c>
      <c r="E49" s="304">
        <v>135934.20000000001</v>
      </c>
      <c r="F49" s="304">
        <v>245945.5</v>
      </c>
      <c r="G49" s="304">
        <f t="shared" si="7"/>
        <v>381879.7</v>
      </c>
      <c r="H49" s="304">
        <v>3680.1</v>
      </c>
      <c r="I49" s="304">
        <v>41751.300000000003</v>
      </c>
      <c r="J49" s="304">
        <f t="shared" si="8"/>
        <v>45431.4</v>
      </c>
      <c r="K49" s="304">
        <f>7542+1487714.7</f>
        <v>1495256.7</v>
      </c>
      <c r="L49" s="304">
        <f t="shared" si="13"/>
        <v>1922567.8</v>
      </c>
      <c r="M49" s="304">
        <v>-351922.2</v>
      </c>
      <c r="N49" s="304">
        <f t="shared" si="18"/>
        <v>1570645.6</v>
      </c>
      <c r="O49" s="304">
        <f t="shared" ref="O49" si="20">D49+N49</f>
        <v>1876865.1</v>
      </c>
      <c r="P49" s="320" t="s">
        <v>577</v>
      </c>
      <c r="Q49" s="778"/>
      <c r="R49" s="778"/>
    </row>
    <row r="50" spans="1:18" s="168" customFormat="1" ht="11.85" customHeight="1">
      <c r="A50" s="148" t="s">
        <v>571</v>
      </c>
      <c r="B50" s="239">
        <v>258977.5</v>
      </c>
      <c r="C50" s="239">
        <v>34340.5</v>
      </c>
      <c r="D50" s="239">
        <f t="shared" si="6"/>
        <v>293318</v>
      </c>
      <c r="E50" s="239">
        <v>129039.7</v>
      </c>
      <c r="F50" s="239">
        <v>241881.2</v>
      </c>
      <c r="G50" s="239">
        <f t="shared" si="7"/>
        <v>370920.9</v>
      </c>
      <c r="H50" s="239">
        <v>3928.4</v>
      </c>
      <c r="I50" s="239">
        <v>42667.5</v>
      </c>
      <c r="J50" s="239">
        <f t="shared" si="8"/>
        <v>46595.9</v>
      </c>
      <c r="K50" s="239">
        <f>7748.6+1505305.4</f>
        <v>1513054</v>
      </c>
      <c r="L50" s="239">
        <f t="shared" si="13"/>
        <v>1930570.8</v>
      </c>
      <c r="M50" s="239">
        <v>-346643</v>
      </c>
      <c r="N50" s="239">
        <f t="shared" si="18"/>
        <v>1583927.8</v>
      </c>
      <c r="O50" s="239">
        <f t="shared" ref="O50" si="21">D50+N50</f>
        <v>1877245.8</v>
      </c>
      <c r="P50" s="215" t="s">
        <v>571</v>
      </c>
      <c r="Q50" s="778"/>
      <c r="R50" s="778"/>
    </row>
    <row r="51" spans="1:18" s="168" customFormat="1" ht="11.85" customHeight="1">
      <c r="A51" s="327" t="s">
        <v>578</v>
      </c>
      <c r="B51" s="304">
        <v>248074.3</v>
      </c>
      <c r="C51" s="304">
        <v>33027</v>
      </c>
      <c r="D51" s="304">
        <f t="shared" si="6"/>
        <v>281101.3</v>
      </c>
      <c r="E51" s="304">
        <v>127546.1</v>
      </c>
      <c r="F51" s="304">
        <v>240770.8</v>
      </c>
      <c r="G51" s="304">
        <f t="shared" si="7"/>
        <v>368316.9</v>
      </c>
      <c r="H51" s="304">
        <v>3934.3</v>
      </c>
      <c r="I51" s="304">
        <v>42863</v>
      </c>
      <c r="J51" s="304">
        <f t="shared" si="8"/>
        <v>46797.3</v>
      </c>
      <c r="K51" s="304">
        <f>9203.2+1520116.6</f>
        <v>1529319.8</v>
      </c>
      <c r="L51" s="304">
        <f t="shared" si="13"/>
        <v>1944434</v>
      </c>
      <c r="M51" s="304">
        <v>-342998.8</v>
      </c>
      <c r="N51" s="304">
        <f t="shared" si="18"/>
        <v>1601435.2</v>
      </c>
      <c r="O51" s="304">
        <f t="shared" ref="O51" si="22">D51+N51</f>
        <v>1882536.5</v>
      </c>
      <c r="P51" s="320" t="s">
        <v>578</v>
      </c>
      <c r="Q51" s="778"/>
      <c r="R51" s="778"/>
    </row>
    <row r="52" spans="1:18" s="168" customFormat="1" ht="11.85" customHeight="1">
      <c r="A52" s="148" t="s">
        <v>579</v>
      </c>
      <c r="B52" s="239">
        <v>235600.5</v>
      </c>
      <c r="C52" s="239">
        <v>30070.799999999999</v>
      </c>
      <c r="D52" s="239">
        <f t="shared" si="6"/>
        <v>265671.3</v>
      </c>
      <c r="E52" s="239">
        <v>132232.70000000001</v>
      </c>
      <c r="F52" s="239">
        <v>231759.7</v>
      </c>
      <c r="G52" s="239">
        <f t="shared" si="7"/>
        <v>363992.4</v>
      </c>
      <c r="H52" s="239">
        <v>3943</v>
      </c>
      <c r="I52" s="239">
        <v>43719.3</v>
      </c>
      <c r="J52" s="239">
        <f t="shared" si="8"/>
        <v>47662.3</v>
      </c>
      <c r="K52" s="239">
        <f>9203+1536738.2</f>
        <v>1545941.2</v>
      </c>
      <c r="L52" s="239">
        <f t="shared" si="13"/>
        <v>1957595.9</v>
      </c>
      <c r="M52" s="239">
        <v>-333844.09999999998</v>
      </c>
      <c r="N52" s="239">
        <f t="shared" si="18"/>
        <v>1623751.7999999998</v>
      </c>
      <c r="O52" s="239">
        <f t="shared" ref="O52" si="23">D52+N52</f>
        <v>1889423.0999999999</v>
      </c>
      <c r="P52" s="215" t="s">
        <v>579</v>
      </c>
      <c r="Q52" s="778"/>
      <c r="R52" s="778"/>
    </row>
    <row r="53" spans="1:18" s="168" customFormat="1" ht="11.85" customHeight="1" thickBot="1">
      <c r="A53" s="1517" t="s">
        <v>572</v>
      </c>
      <c r="B53" s="1717">
        <v>248198.9</v>
      </c>
      <c r="C53" s="1717">
        <v>29264.9</v>
      </c>
      <c r="D53" s="1717">
        <f t="shared" si="6"/>
        <v>277463.8</v>
      </c>
      <c r="E53" s="1717">
        <v>126706.8</v>
      </c>
      <c r="F53" s="1717">
        <v>224951.6</v>
      </c>
      <c r="G53" s="1717">
        <f t="shared" si="7"/>
        <v>351658.4</v>
      </c>
      <c r="H53" s="1717">
        <v>4201.8999999999996</v>
      </c>
      <c r="I53" s="1717">
        <v>44691.6</v>
      </c>
      <c r="J53" s="1717">
        <f t="shared" si="8"/>
        <v>48893.5</v>
      </c>
      <c r="K53" s="1717">
        <f>8390.5+1562279.9</f>
        <v>1570670.4</v>
      </c>
      <c r="L53" s="1717">
        <f t="shared" si="13"/>
        <v>1971222.2999999998</v>
      </c>
      <c r="M53" s="1717">
        <v>-339538.3</v>
      </c>
      <c r="N53" s="1717">
        <f t="shared" si="18"/>
        <v>1631683.9999999998</v>
      </c>
      <c r="O53" s="1717">
        <f t="shared" ref="O53" si="24">D53+N53</f>
        <v>1909147.7999999998</v>
      </c>
      <c r="P53" s="1725" t="s">
        <v>572</v>
      </c>
      <c r="Q53" s="778"/>
      <c r="R53" s="778"/>
    </row>
    <row r="54" spans="1:18" ht="10.5" customHeight="1">
      <c r="A54" s="591" t="s">
        <v>197</v>
      </c>
      <c r="B54" s="1981" t="s">
        <v>2450</v>
      </c>
      <c r="C54" s="1981"/>
      <c r="D54" s="1981"/>
      <c r="E54" s="1981"/>
      <c r="F54" s="1981"/>
      <c r="G54" s="1981"/>
      <c r="H54" s="1981"/>
      <c r="I54" s="591" t="s">
        <v>199</v>
      </c>
      <c r="J54" s="1981" t="s">
        <v>1070</v>
      </c>
      <c r="K54" s="1981"/>
      <c r="L54" s="1981"/>
      <c r="M54" s="1981"/>
      <c r="N54" s="1981"/>
      <c r="O54" s="1981"/>
      <c r="P54" s="1981"/>
      <c r="Q54" s="778"/>
      <c r="R54" s="40"/>
    </row>
    <row r="55" spans="1:18" ht="10.5" customHeight="1">
      <c r="A55" s="39"/>
      <c r="B55" s="2003" t="s">
        <v>1374</v>
      </c>
      <c r="C55" s="2003"/>
      <c r="D55" s="2003"/>
      <c r="E55" s="724"/>
      <c r="F55" s="1315"/>
      <c r="G55" s="1315" t="s">
        <v>1390</v>
      </c>
      <c r="H55" s="724"/>
      <c r="J55" s="2004" t="s">
        <v>1294</v>
      </c>
      <c r="K55" s="2004"/>
      <c r="L55" s="2004"/>
      <c r="M55" s="2004"/>
      <c r="N55" s="2004"/>
      <c r="O55" s="2004"/>
      <c r="P55" s="2004"/>
    </row>
    <row r="56" spans="1:18" ht="11.25" customHeight="1">
      <c r="B56" s="1483"/>
      <c r="C56" s="1483"/>
      <c r="D56" s="1483"/>
      <c r="E56" s="1343"/>
      <c r="F56" s="1343"/>
      <c r="G56" s="1343"/>
      <c r="H56" s="1477"/>
      <c r="I56" s="47" t="s">
        <v>198</v>
      </c>
      <c r="J56" s="2005" t="s">
        <v>1296</v>
      </c>
      <c r="K56" s="2005"/>
      <c r="L56" s="2005"/>
      <c r="M56" s="2005"/>
      <c r="N56" s="2005"/>
      <c r="Q56" s="170"/>
    </row>
    <row r="57" spans="1:18" ht="12.75" customHeight="1">
      <c r="E57" s="1343"/>
      <c r="F57" s="1343"/>
      <c r="G57" s="1343"/>
      <c r="J57" s="40"/>
      <c r="L57" s="40"/>
      <c r="M57" s="40"/>
      <c r="N57" s="40"/>
      <c r="O57" s="40"/>
      <c r="P57" s="40"/>
      <c r="Q57" s="505"/>
    </row>
    <row r="58" spans="1:18" ht="12.75" customHeight="1">
      <c r="E58" s="40"/>
      <c r="F58" s="1343"/>
      <c r="G58" s="40"/>
      <c r="J58" s="40"/>
      <c r="K58" s="40"/>
      <c r="L58" s="40"/>
      <c r="M58" s="40"/>
      <c r="Q58" s="170"/>
    </row>
    <row r="59" spans="1:18">
      <c r="E59" s="40"/>
      <c r="F59" s="1343"/>
      <c r="G59" s="40"/>
      <c r="H59" s="40"/>
      <c r="J59" s="40"/>
      <c r="L59" s="40"/>
      <c r="M59" s="40"/>
      <c r="Q59" s="170"/>
    </row>
    <row r="60" spans="1:18">
      <c r="E60" s="40"/>
      <c r="F60" s="1343"/>
      <c r="G60" s="40"/>
      <c r="L60" s="40"/>
      <c r="M60" s="40"/>
      <c r="O60" s="40"/>
      <c r="P60" s="505"/>
      <c r="Q60" s="170"/>
    </row>
    <row r="61" spans="1:18">
      <c r="B61" s="40"/>
      <c r="C61" s="40"/>
      <c r="D61" s="40"/>
      <c r="E61" s="40"/>
      <c r="F61" s="1343"/>
      <c r="G61" s="40"/>
      <c r="H61" s="40"/>
      <c r="I61" s="40"/>
      <c r="J61" s="40"/>
      <c r="K61" s="40"/>
      <c r="L61" s="40"/>
      <c r="M61" s="40"/>
      <c r="N61" s="40"/>
      <c r="O61" s="40"/>
      <c r="P61" s="505"/>
    </row>
    <row r="62" spans="1:18">
      <c r="D62" s="40"/>
      <c r="E62" s="88"/>
      <c r="F62" s="1343"/>
      <c r="H62" s="40"/>
      <c r="I62" s="88"/>
      <c r="J62" s="40"/>
      <c r="K62" s="40"/>
      <c r="L62" s="88"/>
      <c r="M62" s="88"/>
      <c r="O62" s="505"/>
      <c r="P62" s="505"/>
    </row>
    <row r="63" spans="1:18">
      <c r="D63" s="40"/>
      <c r="E63" s="88"/>
      <c r="J63" s="40"/>
      <c r="K63" s="88"/>
      <c r="L63" s="40"/>
      <c r="O63" s="181"/>
      <c r="P63" s="170"/>
    </row>
    <row r="64" spans="1:18">
      <c r="D64" s="88"/>
      <c r="H64" s="40"/>
      <c r="I64" s="40"/>
      <c r="K64" s="40"/>
      <c r="L64" s="88"/>
      <c r="M64" s="88"/>
    </row>
    <row r="65" spans="2:16">
      <c r="J65" s="40"/>
      <c r="K65" s="88"/>
      <c r="L65" s="40"/>
      <c r="M65" s="88"/>
    </row>
    <row r="66" spans="2:16">
      <c r="J66" s="40"/>
    </row>
    <row r="68" spans="2:16">
      <c r="L68" s="40"/>
      <c r="M68" s="88"/>
    </row>
    <row r="70" spans="2:16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</row>
    <row r="71" spans="2:16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</row>
    <row r="72" spans="2:16"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</row>
    <row r="78" spans="2:16"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</row>
    <row r="79" spans="2:16"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</row>
    <row r="80" spans="2:16"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A3:A8"/>
    <mergeCell ref="C4:C7"/>
    <mergeCell ref="B55:D55"/>
    <mergeCell ref="J55:P55"/>
    <mergeCell ref="J56:N56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A1:C1"/>
    <mergeCell ref="E4:J4"/>
    <mergeCell ref="G6:G7"/>
    <mergeCell ref="D1:F1"/>
    <mergeCell ref="J54:P54"/>
    <mergeCell ref="L4:L7"/>
    <mergeCell ref="E5:G5"/>
    <mergeCell ref="E6:E7"/>
    <mergeCell ref="F6:F7"/>
    <mergeCell ref="B54:H54"/>
    <mergeCell ref="B3:D3"/>
    <mergeCell ref="D4:D7"/>
    <mergeCell ref="B4:B7"/>
    <mergeCell ref="H5:J5"/>
    <mergeCell ref="J6:J7"/>
    <mergeCell ref="I3:K3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0"/>
  <sheetViews>
    <sheetView zoomScale="130" zoomScaleNormal="13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K50" sqref="K50"/>
    </sheetView>
  </sheetViews>
  <sheetFormatPr defaultColWidth="9.140625" defaultRowHeight="12.75"/>
  <cols>
    <col min="1" max="1" width="11.140625" style="453" customWidth="1"/>
    <col min="2" max="2" width="13.7109375" style="453" customWidth="1"/>
    <col min="3" max="3" width="12.85546875" style="453" customWidth="1"/>
    <col min="4" max="4" width="13" style="453" customWidth="1"/>
    <col min="5" max="5" width="13.42578125" style="453" customWidth="1"/>
    <col min="6" max="6" width="13" style="453" customWidth="1"/>
    <col min="7" max="8" width="12.7109375" style="453" customWidth="1"/>
    <col min="9" max="10" width="13.28515625" style="453" customWidth="1"/>
    <col min="11" max="11" width="14.42578125" style="453" customWidth="1"/>
    <col min="12" max="12" width="11.85546875" style="453" customWidth="1"/>
    <col min="13" max="13" width="12.140625" style="453" customWidth="1"/>
    <col min="14" max="14" width="10.7109375" style="453" customWidth="1"/>
    <col min="15" max="15" width="11" style="453" customWidth="1"/>
    <col min="16" max="16384" width="9.140625" style="453"/>
  </cols>
  <sheetData>
    <row r="1" spans="1:17" s="172" customFormat="1" ht="15.75">
      <c r="D1" s="2007" t="s">
        <v>841</v>
      </c>
      <c r="E1" s="2007"/>
      <c r="F1" s="2007"/>
      <c r="G1" s="2014" t="s">
        <v>450</v>
      </c>
      <c r="H1" s="2014"/>
      <c r="I1" s="2014"/>
      <c r="K1" s="2007" t="s">
        <v>334</v>
      </c>
      <c r="L1" s="2007"/>
    </row>
    <row r="2" spans="1:17" s="175" customFormat="1" ht="10.5" customHeight="1">
      <c r="F2" s="1266"/>
      <c r="K2" s="2015" t="s">
        <v>222</v>
      </c>
      <c r="L2" s="2015"/>
      <c r="N2" s="172"/>
      <c r="O2" s="172"/>
    </row>
    <row r="3" spans="1:17" s="177" customFormat="1" ht="22.5" customHeight="1">
      <c r="A3" s="2011" t="s">
        <v>948</v>
      </c>
      <c r="B3" s="2017" t="s">
        <v>200</v>
      </c>
      <c r="C3" s="1871" t="s">
        <v>951</v>
      </c>
      <c r="D3" s="2008" t="s">
        <v>398</v>
      </c>
      <c r="E3" s="2009"/>
      <c r="F3" s="2010"/>
      <c r="G3" s="2008" t="s">
        <v>400</v>
      </c>
      <c r="H3" s="2009"/>
      <c r="I3" s="2010"/>
      <c r="J3" s="1871" t="s">
        <v>807</v>
      </c>
      <c r="K3" s="1871" t="s">
        <v>950</v>
      </c>
      <c r="L3" s="2011" t="s">
        <v>949</v>
      </c>
      <c r="N3" s="172"/>
      <c r="O3" s="172"/>
    </row>
    <row r="4" spans="1:17" s="177" customFormat="1" ht="22.5" customHeight="1">
      <c r="A4" s="2012"/>
      <c r="B4" s="1926"/>
      <c r="C4" s="1872"/>
      <c r="D4" s="1265" t="s">
        <v>399</v>
      </c>
      <c r="E4" s="1265" t="s">
        <v>495</v>
      </c>
      <c r="F4" s="1265" t="s">
        <v>494</v>
      </c>
      <c r="G4" s="1265" t="s">
        <v>399</v>
      </c>
      <c r="H4" s="1265" t="s">
        <v>495</v>
      </c>
      <c r="I4" s="1265" t="s">
        <v>494</v>
      </c>
      <c r="J4" s="1872"/>
      <c r="K4" s="1872"/>
      <c r="L4" s="2012"/>
      <c r="N4" s="172"/>
      <c r="O4" s="172"/>
    </row>
    <row r="5" spans="1:17" s="532" customFormat="1" ht="12" customHeight="1">
      <c r="A5" s="2013"/>
      <c r="B5" s="1267">
        <v>1</v>
      </c>
      <c r="C5" s="531">
        <v>2</v>
      </c>
      <c r="D5" s="531">
        <v>3</v>
      </c>
      <c r="E5" s="531">
        <v>4</v>
      </c>
      <c r="F5" s="531" t="s">
        <v>201</v>
      </c>
      <c r="G5" s="531">
        <v>6</v>
      </c>
      <c r="H5" s="531">
        <v>7</v>
      </c>
      <c r="I5" s="531" t="s">
        <v>202</v>
      </c>
      <c r="J5" s="531">
        <v>9</v>
      </c>
      <c r="K5" s="531" t="s">
        <v>401</v>
      </c>
      <c r="L5" s="2013"/>
      <c r="N5" s="172"/>
      <c r="O5" s="172"/>
    </row>
    <row r="6" spans="1:17" ht="11.45" customHeight="1">
      <c r="A6" s="1285" t="s">
        <v>81</v>
      </c>
      <c r="B6" s="478">
        <v>54252.9</v>
      </c>
      <c r="C6" s="478">
        <v>12.3</v>
      </c>
      <c r="D6" s="478">
        <v>1765.4</v>
      </c>
      <c r="E6" s="478">
        <v>9474.7999999999993</v>
      </c>
      <c r="F6" s="513">
        <f t="shared" ref="F6:F7" si="0">D6+E6</f>
        <v>11240.199999999999</v>
      </c>
      <c r="G6" s="478">
        <v>11036.2</v>
      </c>
      <c r="H6" s="478">
        <v>205147.4</v>
      </c>
      <c r="I6" s="513">
        <f t="shared" ref="I6:I7" si="1">G6+H6</f>
        <v>216183.6</v>
      </c>
      <c r="J6" s="478">
        <v>56138.6</v>
      </c>
      <c r="K6" s="513">
        <f t="shared" ref="K6:K7" si="2">B6+C6+F6+I6+J6</f>
        <v>337827.6</v>
      </c>
      <c r="L6" s="1336" t="s">
        <v>81</v>
      </c>
      <c r="N6" s="172"/>
      <c r="O6" s="172"/>
      <c r="P6" s="172"/>
      <c r="Q6" s="172"/>
    </row>
    <row r="7" spans="1:17" ht="11.45" customHeight="1">
      <c r="A7" s="1335" t="s">
        <v>192</v>
      </c>
      <c r="B7" s="483">
        <v>73227.899999999994</v>
      </c>
      <c r="C7" s="483">
        <v>9.4</v>
      </c>
      <c r="D7" s="483">
        <v>2162.1</v>
      </c>
      <c r="E7" s="483">
        <v>9681.2999999999993</v>
      </c>
      <c r="F7" s="524">
        <f t="shared" si="0"/>
        <v>11843.4</v>
      </c>
      <c r="G7" s="483">
        <v>14780.8</v>
      </c>
      <c r="H7" s="483">
        <v>261545.2</v>
      </c>
      <c r="I7" s="524">
        <f t="shared" si="1"/>
        <v>276326</v>
      </c>
      <c r="J7" s="483">
        <v>69486.3</v>
      </c>
      <c r="K7" s="524">
        <f t="shared" si="2"/>
        <v>430892.99999999994</v>
      </c>
      <c r="L7" s="1337" t="s">
        <v>192</v>
      </c>
      <c r="N7" s="172"/>
      <c r="O7" s="172"/>
      <c r="P7" s="175"/>
      <c r="Q7" s="175"/>
    </row>
    <row r="8" spans="1:17" ht="11.45" customHeight="1">
      <c r="A8" s="1285" t="s">
        <v>757</v>
      </c>
      <c r="B8" s="478">
        <v>91728.8</v>
      </c>
      <c r="C8" s="478">
        <v>5.8</v>
      </c>
      <c r="D8" s="478">
        <v>2558.6</v>
      </c>
      <c r="E8" s="478">
        <v>11158.6</v>
      </c>
      <c r="F8" s="513">
        <v>13717.2</v>
      </c>
      <c r="G8" s="478">
        <v>12777.7</v>
      </c>
      <c r="H8" s="478">
        <v>320176.90000000002</v>
      </c>
      <c r="I8" s="513">
        <v>332954.60000000003</v>
      </c>
      <c r="J8" s="478">
        <v>76566.2</v>
      </c>
      <c r="K8" s="513">
        <v>514972.60000000003</v>
      </c>
      <c r="L8" s="1336" t="s">
        <v>757</v>
      </c>
      <c r="N8" s="172"/>
      <c r="O8" s="172"/>
      <c r="P8" s="177"/>
      <c r="Q8" s="177"/>
    </row>
    <row r="9" spans="1:17" ht="11.45" customHeight="1">
      <c r="A9" s="1335" t="s">
        <v>866</v>
      </c>
      <c r="B9" s="483">
        <v>110124.6</v>
      </c>
      <c r="C9" s="483">
        <v>2.2999999999999998</v>
      </c>
      <c r="D9" s="483">
        <v>3509.3</v>
      </c>
      <c r="E9" s="483">
        <v>14227.8</v>
      </c>
      <c r="F9" s="524">
        <v>17737.099999999999</v>
      </c>
      <c r="G9" s="483">
        <v>5943.7</v>
      </c>
      <c r="H9" s="483">
        <v>354128.7</v>
      </c>
      <c r="I9" s="524">
        <v>360072.4</v>
      </c>
      <c r="J9" s="483">
        <v>83800.7</v>
      </c>
      <c r="K9" s="524">
        <v>571737.1</v>
      </c>
      <c r="L9" s="1337" t="s">
        <v>866</v>
      </c>
      <c r="N9" s="172"/>
      <c r="O9" s="172"/>
      <c r="P9" s="177"/>
      <c r="Q9" s="177"/>
    </row>
    <row r="10" spans="1:17" s="369" customFormat="1" ht="11.45" customHeight="1">
      <c r="A10" s="302" t="s">
        <v>1051</v>
      </c>
      <c r="B10" s="478">
        <v>117529.4</v>
      </c>
      <c r="C10" s="478">
        <v>0</v>
      </c>
      <c r="D10" s="478">
        <v>5279.8</v>
      </c>
      <c r="E10" s="478">
        <v>17064.3</v>
      </c>
      <c r="F10" s="478">
        <v>22344.1</v>
      </c>
      <c r="G10" s="478">
        <v>7457.2</v>
      </c>
      <c r="H10" s="478">
        <v>396366.5</v>
      </c>
      <c r="I10" s="478">
        <v>403823.7</v>
      </c>
      <c r="J10" s="478">
        <v>94209.1</v>
      </c>
      <c r="K10" s="478">
        <v>637906.29999999993</v>
      </c>
      <c r="L10" s="393" t="s">
        <v>1051</v>
      </c>
      <c r="N10" s="172"/>
      <c r="O10" s="172"/>
      <c r="P10" s="532"/>
      <c r="Q10" s="532"/>
    </row>
    <row r="11" spans="1:17" s="369" customFormat="1" ht="11.45" customHeight="1">
      <c r="A11" s="237" t="s">
        <v>1105</v>
      </c>
      <c r="B11" s="483">
        <v>110257.3</v>
      </c>
      <c r="C11" s="483">
        <v>0</v>
      </c>
      <c r="D11" s="483">
        <v>5366.6</v>
      </c>
      <c r="E11" s="483">
        <v>21902.2</v>
      </c>
      <c r="F11" s="483">
        <v>27268.799999999999</v>
      </c>
      <c r="G11" s="483">
        <v>11303.2</v>
      </c>
      <c r="H11" s="483">
        <v>447518.7</v>
      </c>
      <c r="I11" s="483">
        <v>458821.8</v>
      </c>
      <c r="J11" s="483">
        <v>105178.6</v>
      </c>
      <c r="K11" s="483">
        <v>701526.5</v>
      </c>
      <c r="L11" s="416" t="s">
        <v>1105</v>
      </c>
      <c r="N11" s="172"/>
      <c r="O11" s="172"/>
      <c r="P11" s="172"/>
      <c r="Q11" s="172"/>
    </row>
    <row r="12" spans="1:17" s="369" customFormat="1" ht="11.45" customHeight="1">
      <c r="A12" s="302" t="s">
        <v>1231</v>
      </c>
      <c r="B12" s="478">
        <v>114219.6</v>
      </c>
      <c r="C12" s="478">
        <v>0</v>
      </c>
      <c r="D12" s="478">
        <v>6923.8</v>
      </c>
      <c r="E12" s="478">
        <v>26923.7</v>
      </c>
      <c r="F12" s="478">
        <v>33847.5</v>
      </c>
      <c r="G12" s="478">
        <v>9127.2999999999993</v>
      </c>
      <c r="H12" s="478">
        <v>531340.4</v>
      </c>
      <c r="I12" s="478">
        <v>540467.70000000007</v>
      </c>
      <c r="J12" s="478">
        <v>112745.2</v>
      </c>
      <c r="K12" s="478">
        <v>801280</v>
      </c>
      <c r="L12" s="393" t="s">
        <v>1231</v>
      </c>
      <c r="N12" s="172"/>
      <c r="O12" s="172"/>
      <c r="P12" s="175"/>
      <c r="Q12" s="175"/>
    </row>
    <row r="13" spans="1:17" s="369" customFormat="1" ht="11.45" customHeight="1">
      <c r="A13" s="1333" t="s">
        <v>1263</v>
      </c>
      <c r="B13" s="483">
        <v>97333.5</v>
      </c>
      <c r="C13" s="483">
        <v>0</v>
      </c>
      <c r="D13" s="483">
        <v>8161.5</v>
      </c>
      <c r="E13" s="483">
        <v>33950.300000000003</v>
      </c>
      <c r="F13" s="483">
        <v>42111.8</v>
      </c>
      <c r="G13" s="483">
        <v>9118.7000000000007</v>
      </c>
      <c r="H13" s="483">
        <v>612395</v>
      </c>
      <c r="I13" s="483">
        <v>621513.69999999995</v>
      </c>
      <c r="J13" s="483">
        <v>129711.2</v>
      </c>
      <c r="K13" s="483">
        <v>890670.2</v>
      </c>
      <c r="L13" s="394" t="s">
        <v>1263</v>
      </c>
      <c r="N13" s="172"/>
      <c r="O13" s="172"/>
      <c r="P13" s="177"/>
      <c r="Q13" s="177"/>
    </row>
    <row r="14" spans="1:17" s="369" customFormat="1" ht="11.45" customHeight="1">
      <c r="A14" s="1334" t="s">
        <v>1392</v>
      </c>
      <c r="B14" s="478">
        <v>94894.9</v>
      </c>
      <c r="C14" s="478">
        <v>0</v>
      </c>
      <c r="D14" s="478">
        <v>8638.7999999999993</v>
      </c>
      <c r="E14" s="478">
        <v>43216.2</v>
      </c>
      <c r="F14" s="478">
        <v>51875.3</v>
      </c>
      <c r="G14" s="478">
        <v>10561.3</v>
      </c>
      <c r="H14" s="478">
        <v>714397</v>
      </c>
      <c r="I14" s="478">
        <v>724958.3</v>
      </c>
      <c r="J14" s="478">
        <v>149898.09999999995</v>
      </c>
      <c r="K14" s="478">
        <v>1021626.6</v>
      </c>
      <c r="L14" s="1338" t="s">
        <v>1392</v>
      </c>
      <c r="N14" s="172"/>
      <c r="O14" s="172"/>
      <c r="P14" s="177"/>
      <c r="Q14" s="177"/>
    </row>
    <row r="15" spans="1:17" s="230" customFormat="1" ht="11.45" customHeight="1">
      <c r="A15" s="399" t="s">
        <v>1511</v>
      </c>
      <c r="B15" s="483">
        <v>113273.4</v>
      </c>
      <c r="C15" s="483">
        <v>0</v>
      </c>
      <c r="D15" s="483">
        <v>10941.8</v>
      </c>
      <c r="E15" s="483">
        <v>44526.6</v>
      </c>
      <c r="F15" s="483">
        <v>55468.399999999994</v>
      </c>
      <c r="G15" s="483">
        <v>12413.8</v>
      </c>
      <c r="H15" s="483">
        <v>797858.7</v>
      </c>
      <c r="I15" s="483">
        <v>810272.5</v>
      </c>
      <c r="J15" s="483">
        <v>167870.4</v>
      </c>
      <c r="K15" s="483">
        <v>1146884.7</v>
      </c>
      <c r="L15" s="394" t="s">
        <v>1511</v>
      </c>
      <c r="N15" s="172"/>
      <c r="O15" s="172"/>
      <c r="P15" s="532"/>
      <c r="Q15" s="532"/>
    </row>
    <row r="16" spans="1:17" ht="11.45" customHeight="1">
      <c r="A16" s="413" t="s">
        <v>1602</v>
      </c>
      <c r="B16" s="478">
        <v>181150.7</v>
      </c>
      <c r="C16" s="478">
        <v>0</v>
      </c>
      <c r="D16" s="478">
        <v>11420.7</v>
      </c>
      <c r="E16" s="478">
        <v>43383.4</v>
      </c>
      <c r="F16" s="478">
        <v>54804.100000000006</v>
      </c>
      <c r="G16" s="478">
        <v>17794.400000000001</v>
      </c>
      <c r="H16" s="478">
        <v>875826.1</v>
      </c>
      <c r="I16" s="478">
        <v>893620.5</v>
      </c>
      <c r="J16" s="478">
        <v>178058.39999999991</v>
      </c>
      <c r="K16" s="478">
        <v>1307633.7</v>
      </c>
      <c r="L16" s="370" t="s">
        <v>1602</v>
      </c>
      <c r="N16" s="172"/>
      <c r="O16" s="172"/>
      <c r="P16" s="172"/>
      <c r="Q16" s="172"/>
    </row>
    <row r="17" spans="1:17" ht="11.45" customHeight="1">
      <c r="A17" s="936" t="s">
        <v>1668</v>
      </c>
      <c r="B17" s="570">
        <v>221024.9</v>
      </c>
      <c r="C17" s="570">
        <v>0</v>
      </c>
      <c r="D17" s="570">
        <v>11686.7</v>
      </c>
      <c r="E17" s="570">
        <v>44685.5</v>
      </c>
      <c r="F17" s="570">
        <v>56372.2</v>
      </c>
      <c r="G17" s="570">
        <v>18330.400000000001</v>
      </c>
      <c r="H17" s="570">
        <v>944500.9</v>
      </c>
      <c r="I17" s="570">
        <v>962831.3</v>
      </c>
      <c r="J17" s="570">
        <v>199670.7</v>
      </c>
      <c r="K17" s="570">
        <v>1439899.0999999999</v>
      </c>
      <c r="L17" s="1340" t="s">
        <v>1668</v>
      </c>
      <c r="N17" s="172"/>
      <c r="O17" s="172"/>
      <c r="P17" s="175"/>
      <c r="Q17" s="175"/>
    </row>
    <row r="18" spans="1:17" s="499" customFormat="1" ht="11.45" customHeight="1">
      <c r="A18" s="1323" t="s">
        <v>2018</v>
      </c>
      <c r="B18" s="573">
        <f>B30</f>
        <v>283314.5</v>
      </c>
      <c r="C18" s="573">
        <f t="shared" ref="C18:K18" si="3">C30</f>
        <v>0</v>
      </c>
      <c r="D18" s="573">
        <f t="shared" si="3"/>
        <v>11888.306285111861</v>
      </c>
      <c r="E18" s="573">
        <f t="shared" si="3"/>
        <v>46525.068338350975</v>
      </c>
      <c r="F18" s="573">
        <f t="shared" si="3"/>
        <v>58413.374623462834</v>
      </c>
      <c r="G18" s="573">
        <f t="shared" si="3"/>
        <v>25306.388915850399</v>
      </c>
      <c r="H18" s="573">
        <f t="shared" si="3"/>
        <v>1078354.71160969</v>
      </c>
      <c r="I18" s="573">
        <f t="shared" si="3"/>
        <v>1103661.1005255403</v>
      </c>
      <c r="J18" s="573">
        <f t="shared" si="3"/>
        <v>226359.92485099685</v>
      </c>
      <c r="K18" s="573">
        <f t="shared" si="3"/>
        <v>1671748.9</v>
      </c>
      <c r="L18" s="1342" t="s">
        <v>2018</v>
      </c>
      <c r="N18" s="172"/>
      <c r="O18" s="172"/>
      <c r="P18" s="177"/>
      <c r="Q18" s="177"/>
    </row>
    <row r="19" spans="1:17" s="499" customFormat="1" ht="11.45" customHeight="1">
      <c r="A19" s="399" t="s">
        <v>576</v>
      </c>
      <c r="B19" s="483">
        <v>229134.9</v>
      </c>
      <c r="C19" s="483">
        <v>0</v>
      </c>
      <c r="D19" s="483">
        <v>11579.506458375037</v>
      </c>
      <c r="E19" s="483">
        <v>42954.990394571549</v>
      </c>
      <c r="F19" s="483">
        <f t="shared" ref="F19:F50" si="4">D19+E19</f>
        <v>54534.496852946584</v>
      </c>
      <c r="G19" s="483">
        <v>18553.4610015734</v>
      </c>
      <c r="H19" s="483">
        <v>944470.59143260901</v>
      </c>
      <c r="I19" s="483">
        <f t="shared" ref="I19:I32" si="5">G19+H19</f>
        <v>963024.05243418238</v>
      </c>
      <c r="J19" s="483">
        <v>199589.15071287064</v>
      </c>
      <c r="K19" s="483">
        <f t="shared" ref="K19:K50" si="6">B19+C19+F19+I19+J19</f>
        <v>1446282.5999999996</v>
      </c>
      <c r="L19" s="1341" t="s">
        <v>576</v>
      </c>
      <c r="M19" s="556"/>
      <c r="N19" s="172"/>
      <c r="O19" s="172"/>
      <c r="P19" s="177"/>
      <c r="Q19" s="177"/>
    </row>
    <row r="20" spans="1:17" s="499" customFormat="1" ht="11.45" customHeight="1">
      <c r="A20" s="413" t="s">
        <v>577</v>
      </c>
      <c r="B20" s="478">
        <v>224512.3</v>
      </c>
      <c r="C20" s="478">
        <v>0</v>
      </c>
      <c r="D20" s="478">
        <v>11311.156155724431</v>
      </c>
      <c r="E20" s="478">
        <v>41759.115205893635</v>
      </c>
      <c r="F20" s="478">
        <f t="shared" si="4"/>
        <v>53070.27136161807</v>
      </c>
      <c r="G20" s="478">
        <v>18909.319591101201</v>
      </c>
      <c r="H20" s="478">
        <v>952701.96250044706</v>
      </c>
      <c r="I20" s="478">
        <f t="shared" si="5"/>
        <v>971611.2820915482</v>
      </c>
      <c r="J20" s="478">
        <v>199937.14654683365</v>
      </c>
      <c r="K20" s="478">
        <f t="shared" si="6"/>
        <v>1449131</v>
      </c>
      <c r="L20" s="1339" t="s">
        <v>577</v>
      </c>
      <c r="M20" s="556"/>
      <c r="N20" s="172"/>
      <c r="O20" s="172"/>
      <c r="P20" s="532"/>
      <c r="Q20" s="532"/>
    </row>
    <row r="21" spans="1:17" s="499" customFormat="1" ht="11.45" customHeight="1">
      <c r="A21" s="399" t="s">
        <v>571</v>
      </c>
      <c r="B21" s="483">
        <v>227544.9</v>
      </c>
      <c r="C21" s="483">
        <v>0</v>
      </c>
      <c r="D21" s="483">
        <v>10935.856363526456</v>
      </c>
      <c r="E21" s="483">
        <v>42673.65928798489</v>
      </c>
      <c r="F21" s="483">
        <f t="shared" si="4"/>
        <v>53609.515651511349</v>
      </c>
      <c r="G21" s="483">
        <v>19689.6645535487</v>
      </c>
      <c r="H21" s="483">
        <v>965859.60138087894</v>
      </c>
      <c r="I21" s="483">
        <f t="shared" si="5"/>
        <v>985549.26593442762</v>
      </c>
      <c r="J21" s="483">
        <v>202199.51841406114</v>
      </c>
      <c r="K21" s="483">
        <f t="shared" si="6"/>
        <v>1468903.2</v>
      </c>
      <c r="L21" s="1341" t="s">
        <v>571</v>
      </c>
      <c r="M21" s="556"/>
      <c r="N21" s="172"/>
      <c r="O21" s="172"/>
      <c r="P21" s="172"/>
      <c r="Q21" s="172"/>
    </row>
    <row r="22" spans="1:17" s="499" customFormat="1" ht="11.45" customHeight="1">
      <c r="A22" s="413" t="s">
        <v>578</v>
      </c>
      <c r="B22" s="478">
        <v>230981.5</v>
      </c>
      <c r="C22" s="478">
        <v>0</v>
      </c>
      <c r="D22" s="478">
        <v>11368.405256602669</v>
      </c>
      <c r="E22" s="478">
        <v>41950.375857956933</v>
      </c>
      <c r="F22" s="478">
        <f t="shared" si="4"/>
        <v>53318.781114559606</v>
      </c>
      <c r="G22" s="478">
        <v>20207.647994348801</v>
      </c>
      <c r="H22" s="478">
        <v>974130.22245023202</v>
      </c>
      <c r="I22" s="478">
        <f t="shared" si="5"/>
        <v>994337.8704445808</v>
      </c>
      <c r="J22" s="478">
        <v>203467.24844085943</v>
      </c>
      <c r="K22" s="478">
        <f t="shared" si="6"/>
        <v>1482105.4</v>
      </c>
      <c r="L22" s="1339" t="s">
        <v>578</v>
      </c>
      <c r="M22" s="556"/>
      <c r="N22" s="172"/>
      <c r="O22" s="172"/>
      <c r="P22" s="175"/>
      <c r="Q22" s="175"/>
    </row>
    <row r="23" spans="1:17" s="499" customFormat="1" ht="11.45" customHeight="1">
      <c r="A23" s="399" t="s">
        <v>579</v>
      </c>
      <c r="B23" s="483">
        <v>240082.2</v>
      </c>
      <c r="C23" s="483">
        <v>0</v>
      </c>
      <c r="D23" s="483">
        <v>11335.744037868011</v>
      </c>
      <c r="E23" s="483">
        <v>42605.079168156684</v>
      </c>
      <c r="F23" s="483">
        <f t="shared" si="4"/>
        <v>53940.823206024696</v>
      </c>
      <c r="G23" s="483">
        <v>21724.161860708398</v>
      </c>
      <c r="H23" s="483">
        <v>983290.24974298303</v>
      </c>
      <c r="I23" s="483">
        <f t="shared" si="5"/>
        <v>1005014.4116036914</v>
      </c>
      <c r="J23" s="483">
        <v>208372.76519028383</v>
      </c>
      <c r="K23" s="483">
        <f t="shared" si="6"/>
        <v>1507410.2</v>
      </c>
      <c r="L23" s="1341" t="s">
        <v>579</v>
      </c>
      <c r="M23" s="556"/>
      <c r="N23" s="172"/>
      <c r="O23" s="172"/>
      <c r="P23" s="177"/>
      <c r="Q23" s="177"/>
    </row>
    <row r="24" spans="1:17" s="499" customFormat="1" ht="11.45" customHeight="1">
      <c r="A24" s="413" t="s">
        <v>572</v>
      </c>
      <c r="B24" s="478">
        <v>234544.1</v>
      </c>
      <c r="C24" s="478">
        <v>0</v>
      </c>
      <c r="D24" s="478">
        <v>11143.737277985052</v>
      </c>
      <c r="E24" s="478">
        <v>45936.59275544191</v>
      </c>
      <c r="F24" s="478">
        <f t="shared" si="4"/>
        <v>57080.330033426959</v>
      </c>
      <c r="G24" s="478">
        <v>23249.865473357699</v>
      </c>
      <c r="H24" s="478">
        <v>1005502.2081925001</v>
      </c>
      <c r="I24" s="478">
        <f t="shared" si="5"/>
        <v>1028752.0736658578</v>
      </c>
      <c r="J24" s="478">
        <v>211811.49630071525</v>
      </c>
      <c r="K24" s="478">
        <f t="shared" si="6"/>
        <v>1532188</v>
      </c>
      <c r="L24" s="1339" t="s">
        <v>572</v>
      </c>
      <c r="M24" s="556"/>
      <c r="N24" s="172"/>
      <c r="O24" s="172"/>
      <c r="P24" s="177"/>
      <c r="Q24" s="177"/>
    </row>
    <row r="25" spans="1:17" s="499" customFormat="1" ht="11.45" customHeight="1">
      <c r="A25" s="399" t="s">
        <v>580</v>
      </c>
      <c r="B25" s="483">
        <v>232076</v>
      </c>
      <c r="C25" s="483">
        <v>0</v>
      </c>
      <c r="D25" s="483">
        <v>11495.169643673071</v>
      </c>
      <c r="E25" s="483">
        <v>45279.175198533325</v>
      </c>
      <c r="F25" s="483">
        <f t="shared" si="4"/>
        <v>56774.344842206396</v>
      </c>
      <c r="G25" s="483">
        <v>24882.304605678699</v>
      </c>
      <c r="H25" s="483">
        <v>1005906.978367</v>
      </c>
      <c r="I25" s="483">
        <f t="shared" si="5"/>
        <v>1030789.2829726787</v>
      </c>
      <c r="J25" s="483">
        <v>215071.87218511506</v>
      </c>
      <c r="K25" s="483">
        <f t="shared" si="6"/>
        <v>1534711.5</v>
      </c>
      <c r="L25" s="1341" t="s">
        <v>580</v>
      </c>
      <c r="M25" s="556"/>
      <c r="N25" s="172"/>
      <c r="O25" s="172"/>
      <c r="P25" s="532"/>
      <c r="Q25" s="532"/>
    </row>
    <row r="26" spans="1:17" s="499" customFormat="1" ht="11.45" customHeight="1">
      <c r="A26" s="413" t="s">
        <v>581</v>
      </c>
      <c r="B26" s="478">
        <v>231467.6</v>
      </c>
      <c r="C26" s="478">
        <v>0</v>
      </c>
      <c r="D26" s="478">
        <v>11493.29771211174</v>
      </c>
      <c r="E26" s="478">
        <v>45473.26456616936</v>
      </c>
      <c r="F26" s="478">
        <f t="shared" si="4"/>
        <v>56966.562278281097</v>
      </c>
      <c r="G26" s="478">
        <v>24420.294291357899</v>
      </c>
      <c r="H26" s="478">
        <v>1015800.05129565</v>
      </c>
      <c r="I26" s="478">
        <f t="shared" si="5"/>
        <v>1040220.3455870078</v>
      </c>
      <c r="J26" s="478">
        <v>217585.89213471147</v>
      </c>
      <c r="K26" s="478">
        <f t="shared" si="6"/>
        <v>1546240.4000000004</v>
      </c>
      <c r="L26" s="1339" t="s">
        <v>581</v>
      </c>
      <c r="M26" s="556"/>
      <c r="N26" s="172"/>
      <c r="O26" s="172"/>
      <c r="P26" s="172"/>
      <c r="Q26" s="172"/>
    </row>
    <row r="27" spans="1:17" s="499" customFormat="1" ht="11.45" customHeight="1">
      <c r="A27" s="399" t="s">
        <v>573</v>
      </c>
      <c r="B27" s="483">
        <v>235493.5</v>
      </c>
      <c r="C27" s="483">
        <v>0</v>
      </c>
      <c r="D27" s="483">
        <v>11534.462013077919</v>
      </c>
      <c r="E27" s="483">
        <v>46444.12651363753</v>
      </c>
      <c r="F27" s="483">
        <f t="shared" si="4"/>
        <v>57978.588526715452</v>
      </c>
      <c r="G27" s="483">
        <v>24236.824373610201</v>
      </c>
      <c r="H27" s="483">
        <v>1024240.14378745</v>
      </c>
      <c r="I27" s="483">
        <f t="shared" si="5"/>
        <v>1048476.9681610602</v>
      </c>
      <c r="J27" s="483">
        <v>220761.84331222443</v>
      </c>
      <c r="K27" s="483">
        <f t="shared" si="6"/>
        <v>1562710.9000000001</v>
      </c>
      <c r="L27" s="1341" t="s">
        <v>573</v>
      </c>
      <c r="M27" s="556"/>
      <c r="N27" s="172"/>
      <c r="O27" s="172"/>
      <c r="P27" s="175"/>
      <c r="Q27" s="175"/>
    </row>
    <row r="28" spans="1:17" s="499" customFormat="1" ht="11.45" customHeight="1">
      <c r="A28" s="413" t="s">
        <v>582</v>
      </c>
      <c r="B28" s="478">
        <v>254529.19999999998</v>
      </c>
      <c r="C28" s="478">
        <v>0</v>
      </c>
      <c r="D28" s="478">
        <v>11501.263586967871</v>
      </c>
      <c r="E28" s="478">
        <v>45660.134568726622</v>
      </c>
      <c r="F28" s="478">
        <f t="shared" si="4"/>
        <v>57161.398155694493</v>
      </c>
      <c r="G28" s="478">
        <v>24400.702627023798</v>
      </c>
      <c r="H28" s="478">
        <v>1040615.0219765001</v>
      </c>
      <c r="I28" s="478">
        <f t="shared" si="5"/>
        <v>1065015.724603524</v>
      </c>
      <c r="J28" s="478">
        <v>223363.17724078119</v>
      </c>
      <c r="K28" s="478">
        <f t="shared" si="6"/>
        <v>1600069.4999999998</v>
      </c>
      <c r="L28" s="1339" t="s">
        <v>582</v>
      </c>
      <c r="M28" s="556"/>
      <c r="N28" s="172"/>
      <c r="O28" s="172"/>
      <c r="P28" s="177"/>
      <c r="Q28" s="177"/>
    </row>
    <row r="29" spans="1:17" s="499" customFormat="1" ht="11.45" customHeight="1">
      <c r="A29" s="399" t="s">
        <v>583</v>
      </c>
      <c r="B29" s="483">
        <v>251184.4</v>
      </c>
      <c r="C29" s="483">
        <v>0</v>
      </c>
      <c r="D29" s="483">
        <v>11417.302293277311</v>
      </c>
      <c r="E29" s="483">
        <v>45252.714489789796</v>
      </c>
      <c r="F29" s="483">
        <f t="shared" si="4"/>
        <v>56670.016783067105</v>
      </c>
      <c r="G29" s="483">
        <v>25453.634864756299</v>
      </c>
      <c r="H29" s="483">
        <v>1057997.87111855</v>
      </c>
      <c r="I29" s="483">
        <f t="shared" si="5"/>
        <v>1083451.5059833063</v>
      </c>
      <c r="J29" s="483">
        <v>220240.97723362638</v>
      </c>
      <c r="K29" s="483">
        <f t="shared" si="6"/>
        <v>1611546.9</v>
      </c>
      <c r="L29" s="1341" t="s">
        <v>583</v>
      </c>
      <c r="M29" s="556"/>
      <c r="N29" s="172"/>
      <c r="O29" s="172"/>
      <c r="P29" s="177"/>
      <c r="Q29" s="177"/>
    </row>
    <row r="30" spans="1:17" s="499" customFormat="1" ht="11.45" customHeight="1">
      <c r="A30" s="413" t="s">
        <v>574</v>
      </c>
      <c r="B30" s="478">
        <v>283314.5</v>
      </c>
      <c r="C30" s="478">
        <v>0</v>
      </c>
      <c r="D30" s="478">
        <v>11888.306285111861</v>
      </c>
      <c r="E30" s="478">
        <v>46525.068338350975</v>
      </c>
      <c r="F30" s="478">
        <f t="shared" si="4"/>
        <v>58413.374623462834</v>
      </c>
      <c r="G30" s="478">
        <v>25306.388915850399</v>
      </c>
      <c r="H30" s="478">
        <v>1078354.71160969</v>
      </c>
      <c r="I30" s="478">
        <f t="shared" si="5"/>
        <v>1103661.1005255403</v>
      </c>
      <c r="J30" s="478">
        <v>226359.92485099685</v>
      </c>
      <c r="K30" s="478">
        <f t="shared" si="6"/>
        <v>1671748.9</v>
      </c>
      <c r="L30" s="1339" t="s">
        <v>574</v>
      </c>
      <c r="M30" s="556"/>
      <c r="N30" s="172"/>
      <c r="O30" s="172"/>
      <c r="P30" s="532"/>
      <c r="Q30" s="532"/>
    </row>
    <row r="31" spans="1:17" s="499" customFormat="1" ht="15" customHeight="1">
      <c r="A31" s="936" t="s">
        <v>2300</v>
      </c>
      <c r="B31" s="570">
        <f>B43</f>
        <v>387349.911103677</v>
      </c>
      <c r="C31" s="570">
        <f t="shared" ref="C31:K31" si="7">C43</f>
        <v>0</v>
      </c>
      <c r="D31" s="570">
        <f t="shared" si="7"/>
        <v>11966.745926049949</v>
      </c>
      <c r="E31" s="570">
        <f t="shared" si="7"/>
        <v>51026.618835131594</v>
      </c>
      <c r="F31" s="570">
        <f t="shared" si="7"/>
        <v>62993.36476118154</v>
      </c>
      <c r="G31" s="570">
        <f t="shared" si="7"/>
        <v>33197.991050672099</v>
      </c>
      <c r="H31" s="570">
        <f t="shared" si="7"/>
        <v>1188220.97403525</v>
      </c>
      <c r="I31" s="570">
        <f t="shared" si="7"/>
        <v>1221418.965085922</v>
      </c>
      <c r="J31" s="570">
        <f t="shared" si="7"/>
        <v>255180.05278878909</v>
      </c>
      <c r="K31" s="570">
        <f t="shared" si="7"/>
        <v>1926942.2937395696</v>
      </c>
      <c r="L31" s="1340" t="s">
        <v>2300</v>
      </c>
      <c r="M31" s="556"/>
      <c r="N31" s="172"/>
      <c r="O31" s="172"/>
      <c r="P31" s="172"/>
      <c r="Q31" s="172"/>
    </row>
    <row r="32" spans="1:17" s="499" customFormat="1" ht="11.45" customHeight="1">
      <c r="A32" s="413" t="s">
        <v>576</v>
      </c>
      <c r="B32" s="478">
        <v>281761.7</v>
      </c>
      <c r="C32" s="478">
        <v>0</v>
      </c>
      <c r="D32" s="478">
        <v>12008.157854533902</v>
      </c>
      <c r="E32" s="478">
        <v>45274.658900148723</v>
      </c>
      <c r="F32" s="478">
        <f t="shared" si="4"/>
        <v>57282.816754682623</v>
      </c>
      <c r="G32" s="478">
        <v>26125.949570027999</v>
      </c>
      <c r="H32" s="478">
        <v>1080847.7244113199</v>
      </c>
      <c r="I32" s="478">
        <f t="shared" si="5"/>
        <v>1106973.6739813481</v>
      </c>
      <c r="J32" s="478">
        <v>226446.10926396927</v>
      </c>
      <c r="K32" s="478">
        <f t="shared" si="6"/>
        <v>1672464.3</v>
      </c>
      <c r="L32" s="1339" t="s">
        <v>576</v>
      </c>
      <c r="M32" s="556"/>
      <c r="N32" s="172"/>
      <c r="O32" s="172"/>
      <c r="P32" s="175"/>
      <c r="Q32" s="175"/>
    </row>
    <row r="33" spans="1:17" s="499" customFormat="1" ht="11.45" customHeight="1">
      <c r="A33" s="399" t="s">
        <v>577</v>
      </c>
      <c r="B33" s="483">
        <v>288427.39999999997</v>
      </c>
      <c r="C33" s="483">
        <v>0</v>
      </c>
      <c r="D33" s="483">
        <v>11713.838495810249</v>
      </c>
      <c r="E33" s="483">
        <v>44138.554544124847</v>
      </c>
      <c r="F33" s="483">
        <f t="shared" si="4"/>
        <v>55852.393039935094</v>
      </c>
      <c r="G33" s="483">
        <v>26897.596872609902</v>
      </c>
      <c r="H33" s="483">
        <v>1090128.1518876101</v>
      </c>
      <c r="I33" s="483">
        <f t="shared" ref="I33:I50" si="8">G33+H33</f>
        <v>1117025.7487602199</v>
      </c>
      <c r="J33" s="483">
        <v>228216.45819984522</v>
      </c>
      <c r="K33" s="483">
        <f t="shared" si="6"/>
        <v>1689522</v>
      </c>
      <c r="L33" s="1341" t="s">
        <v>577</v>
      </c>
      <c r="M33" s="556"/>
      <c r="N33" s="172"/>
      <c r="O33" s="172"/>
      <c r="P33" s="177"/>
      <c r="Q33" s="177"/>
    </row>
    <row r="34" spans="1:17" s="499" customFormat="1" ht="11.45" customHeight="1">
      <c r="A34" s="413" t="s">
        <v>571</v>
      </c>
      <c r="B34" s="478">
        <v>292492.09999999998</v>
      </c>
      <c r="C34" s="478">
        <v>0</v>
      </c>
      <c r="D34" s="478">
        <v>11942.828952817588</v>
      </c>
      <c r="E34" s="478">
        <v>43928.571986931711</v>
      </c>
      <c r="F34" s="478">
        <f t="shared" si="4"/>
        <v>55871.400939749299</v>
      </c>
      <c r="G34" s="478">
        <v>26210.394968135199</v>
      </c>
      <c r="H34" s="478">
        <v>1105628.2324140701</v>
      </c>
      <c r="I34" s="478">
        <f t="shared" si="8"/>
        <v>1131838.6273822053</v>
      </c>
      <c r="J34" s="478">
        <v>229870.67167804533</v>
      </c>
      <c r="K34" s="478">
        <f t="shared" si="6"/>
        <v>1710072.7999999998</v>
      </c>
      <c r="L34" s="1339" t="s">
        <v>571</v>
      </c>
      <c r="M34" s="556"/>
      <c r="N34" s="172"/>
      <c r="O34" s="172"/>
      <c r="P34" s="177"/>
      <c r="Q34" s="177"/>
    </row>
    <row r="35" spans="1:17" s="499" customFormat="1" ht="11.45" customHeight="1">
      <c r="A35" s="399" t="s">
        <v>578</v>
      </c>
      <c r="B35" s="483">
        <v>305145.3</v>
      </c>
      <c r="C35" s="483">
        <v>0</v>
      </c>
      <c r="D35" s="483">
        <v>11924.136422956502</v>
      </c>
      <c r="E35" s="483">
        <v>44670.385132438583</v>
      </c>
      <c r="F35" s="483">
        <f t="shared" si="4"/>
        <v>56594.521555395084</v>
      </c>
      <c r="G35" s="483">
        <v>26854.586889405498</v>
      </c>
      <c r="H35" s="483">
        <v>1112296.7015984501</v>
      </c>
      <c r="I35" s="483">
        <f t="shared" si="8"/>
        <v>1139151.2884878556</v>
      </c>
      <c r="J35" s="483">
        <v>232194.78995674942</v>
      </c>
      <c r="K35" s="483">
        <f t="shared" si="6"/>
        <v>1733085.9000000001</v>
      </c>
      <c r="L35" s="1341" t="s">
        <v>578</v>
      </c>
      <c r="M35" s="556"/>
      <c r="N35" s="172"/>
      <c r="O35" s="172"/>
      <c r="P35" s="532"/>
      <c r="Q35" s="532"/>
    </row>
    <row r="36" spans="1:17" s="499" customFormat="1" ht="11.45" customHeight="1">
      <c r="A36" s="413" t="s">
        <v>579</v>
      </c>
      <c r="B36" s="478">
        <v>299232.69999999995</v>
      </c>
      <c r="C36" s="478">
        <v>0</v>
      </c>
      <c r="D36" s="478">
        <v>11893.72067677919</v>
      </c>
      <c r="E36" s="478">
        <v>46628.982973643127</v>
      </c>
      <c r="F36" s="478">
        <f t="shared" si="4"/>
        <v>58522.703650422322</v>
      </c>
      <c r="G36" s="478">
        <v>27517.246642374401</v>
      </c>
      <c r="H36" s="478">
        <v>1124898.6327464001</v>
      </c>
      <c r="I36" s="478">
        <f t="shared" si="8"/>
        <v>1152415.8793887745</v>
      </c>
      <c r="J36" s="478">
        <v>235202.56853245184</v>
      </c>
      <c r="K36" s="478">
        <f t="shared" si="6"/>
        <v>1745373.8515716486</v>
      </c>
      <c r="L36" s="1339" t="s">
        <v>579</v>
      </c>
      <c r="M36" s="556"/>
      <c r="N36" s="172"/>
      <c r="O36" s="172"/>
      <c r="P36" s="172"/>
      <c r="Q36" s="172"/>
    </row>
    <row r="37" spans="1:17" s="499" customFormat="1" ht="11.45" customHeight="1">
      <c r="A37" s="399" t="s">
        <v>572</v>
      </c>
      <c r="B37" s="483">
        <v>293619.40000000002</v>
      </c>
      <c r="C37" s="483">
        <v>0</v>
      </c>
      <c r="D37" s="483">
        <v>11852.43905825828</v>
      </c>
      <c r="E37" s="483">
        <v>48715.632874389026</v>
      </c>
      <c r="F37" s="483">
        <f t="shared" si="4"/>
        <v>60568.071932647304</v>
      </c>
      <c r="G37" s="483">
        <v>30157.020231745701</v>
      </c>
      <c r="H37" s="483">
        <v>1136706.5182117401</v>
      </c>
      <c r="I37" s="483">
        <f t="shared" si="8"/>
        <v>1166863.5384434857</v>
      </c>
      <c r="J37" s="483">
        <v>240711.36478540523</v>
      </c>
      <c r="K37" s="483">
        <f t="shared" si="6"/>
        <v>1761762.3751615384</v>
      </c>
      <c r="L37" s="1341" t="s">
        <v>572</v>
      </c>
      <c r="M37" s="556"/>
      <c r="N37" s="172"/>
      <c r="O37" s="172"/>
      <c r="P37" s="175"/>
      <c r="Q37" s="175"/>
    </row>
    <row r="38" spans="1:17" s="499" customFormat="1" ht="11.45" customHeight="1">
      <c r="A38" s="413" t="s">
        <v>580</v>
      </c>
      <c r="B38" s="478">
        <v>303589.09999999998</v>
      </c>
      <c r="C38" s="478">
        <v>0</v>
      </c>
      <c r="D38" s="478">
        <v>11815.63085262093</v>
      </c>
      <c r="E38" s="478">
        <v>48757.13351863659</v>
      </c>
      <c r="F38" s="478">
        <f t="shared" si="4"/>
        <v>60572.764371257523</v>
      </c>
      <c r="G38" s="478">
        <v>31748.391780133101</v>
      </c>
      <c r="H38" s="478">
        <v>1137339.6601841999</v>
      </c>
      <c r="I38" s="478">
        <f t="shared" si="8"/>
        <v>1169088.051964333</v>
      </c>
      <c r="J38" s="478">
        <v>239929.34504311511</v>
      </c>
      <c r="K38" s="478">
        <f t="shared" si="6"/>
        <v>1773179.2613787057</v>
      </c>
      <c r="L38" s="1339" t="s">
        <v>580</v>
      </c>
      <c r="M38" s="556"/>
      <c r="N38" s="172"/>
      <c r="O38" s="172"/>
      <c r="P38" s="177"/>
      <c r="Q38" s="177"/>
    </row>
    <row r="39" spans="1:17" s="499" customFormat="1" ht="11.45" customHeight="1">
      <c r="A39" s="399" t="s">
        <v>581</v>
      </c>
      <c r="B39" s="483">
        <v>309866.39688436</v>
      </c>
      <c r="C39" s="483">
        <v>0</v>
      </c>
      <c r="D39" s="483">
        <v>11839.858221813081</v>
      </c>
      <c r="E39" s="483">
        <v>48484.48854669532</v>
      </c>
      <c r="F39" s="483">
        <f t="shared" si="4"/>
        <v>60324.346768508403</v>
      </c>
      <c r="G39" s="483">
        <v>31409.806783794898</v>
      </c>
      <c r="H39" s="483">
        <v>1142068.5559465</v>
      </c>
      <c r="I39" s="483">
        <f t="shared" si="8"/>
        <v>1173478.3627302949</v>
      </c>
      <c r="J39" s="483">
        <v>243516.21586095591</v>
      </c>
      <c r="K39" s="483">
        <f t="shared" si="6"/>
        <v>1787185.3222441194</v>
      </c>
      <c r="L39" s="1341" t="s">
        <v>581</v>
      </c>
      <c r="M39" s="556"/>
      <c r="N39" s="172"/>
      <c r="O39" s="172"/>
      <c r="P39" s="177"/>
      <c r="Q39" s="177"/>
    </row>
    <row r="40" spans="1:17" s="499" customFormat="1" ht="11.45" customHeight="1">
      <c r="A40" s="413" t="s">
        <v>573</v>
      </c>
      <c r="B40" s="478">
        <v>324561.88083373598</v>
      </c>
      <c r="C40" s="478">
        <v>0</v>
      </c>
      <c r="D40" s="478">
        <v>11762.284713174291</v>
      </c>
      <c r="E40" s="478">
        <v>49173.322132152716</v>
      </c>
      <c r="F40" s="478">
        <f t="shared" si="4"/>
        <v>60935.606845327005</v>
      </c>
      <c r="G40" s="478">
        <v>32824.844468320705</v>
      </c>
      <c r="H40" s="478">
        <v>1150263.8810386399</v>
      </c>
      <c r="I40" s="478">
        <f t="shared" si="8"/>
        <v>1183088.7255069606</v>
      </c>
      <c r="J40" s="478">
        <v>247371.13614373203</v>
      </c>
      <c r="K40" s="478">
        <f t="shared" si="6"/>
        <v>1815957.3493297559</v>
      </c>
      <c r="L40" s="1339" t="s">
        <v>573</v>
      </c>
      <c r="M40" s="556"/>
      <c r="N40" s="172"/>
      <c r="O40" s="172"/>
      <c r="P40" s="532"/>
      <c r="Q40" s="532"/>
    </row>
    <row r="41" spans="1:17" s="499" customFormat="1" ht="11.45" customHeight="1">
      <c r="A41" s="399" t="s">
        <v>582</v>
      </c>
      <c r="B41" s="483">
        <v>355157.69971613697</v>
      </c>
      <c r="C41" s="483">
        <v>0</v>
      </c>
      <c r="D41" s="483">
        <v>12030.315663194531</v>
      </c>
      <c r="E41" s="483">
        <v>49327.150719481615</v>
      </c>
      <c r="F41" s="483">
        <f t="shared" si="4"/>
        <v>61357.466382676146</v>
      </c>
      <c r="G41" s="483">
        <v>32241.0982225425</v>
      </c>
      <c r="H41" s="483">
        <v>1159131.83406197</v>
      </c>
      <c r="I41" s="483">
        <f t="shared" si="8"/>
        <v>1191372.9322845126</v>
      </c>
      <c r="J41" s="483">
        <v>248940.53070378353</v>
      </c>
      <c r="K41" s="483">
        <f t="shared" si="6"/>
        <v>1856828.6290871091</v>
      </c>
      <c r="L41" s="1341" t="s">
        <v>582</v>
      </c>
      <c r="M41" s="556"/>
      <c r="N41" s="172"/>
      <c r="O41" s="172"/>
      <c r="P41" s="172"/>
      <c r="Q41" s="172"/>
    </row>
    <row r="42" spans="1:17" s="499" customFormat="1" ht="11.45" customHeight="1">
      <c r="A42" s="413" t="s">
        <v>583</v>
      </c>
      <c r="B42" s="478">
        <v>361186.15222401504</v>
      </c>
      <c r="C42" s="478">
        <v>0</v>
      </c>
      <c r="D42" s="478">
        <v>12175.337633914649</v>
      </c>
      <c r="E42" s="478">
        <v>50012.541544020001</v>
      </c>
      <c r="F42" s="478">
        <f t="shared" si="4"/>
        <v>62187.87917793465</v>
      </c>
      <c r="G42" s="478">
        <v>32776.366197845302</v>
      </c>
      <c r="H42" s="478">
        <v>1170025.7139115001</v>
      </c>
      <c r="I42" s="478">
        <f t="shared" si="8"/>
        <v>1202802.0801093453</v>
      </c>
      <c r="J42" s="478">
        <v>250285.33247612356</v>
      </c>
      <c r="K42" s="478">
        <f t="shared" si="6"/>
        <v>1876461.4439874184</v>
      </c>
      <c r="L42" s="1339" t="s">
        <v>583</v>
      </c>
      <c r="M42" s="556"/>
      <c r="N42" s="172"/>
      <c r="O42" s="172"/>
      <c r="P42" s="175"/>
      <c r="Q42" s="175"/>
    </row>
    <row r="43" spans="1:17" s="499" customFormat="1" ht="11.45" customHeight="1">
      <c r="A43" s="399" t="s">
        <v>574</v>
      </c>
      <c r="B43" s="483">
        <v>387349.911103677</v>
      </c>
      <c r="C43" s="483">
        <v>0</v>
      </c>
      <c r="D43" s="483">
        <v>11966.745926049949</v>
      </c>
      <c r="E43" s="483">
        <v>51026.618835131594</v>
      </c>
      <c r="F43" s="483">
        <f t="shared" si="4"/>
        <v>62993.36476118154</v>
      </c>
      <c r="G43" s="483">
        <v>33197.991050672099</v>
      </c>
      <c r="H43" s="483">
        <v>1188220.97403525</v>
      </c>
      <c r="I43" s="483">
        <f t="shared" si="8"/>
        <v>1221418.965085922</v>
      </c>
      <c r="J43" s="483">
        <v>255180.05278878909</v>
      </c>
      <c r="K43" s="483">
        <f t="shared" si="6"/>
        <v>1926942.2937395696</v>
      </c>
      <c r="L43" s="1341" t="s">
        <v>574</v>
      </c>
      <c r="M43" s="556"/>
      <c r="N43" s="172"/>
      <c r="O43" s="172"/>
      <c r="P43" s="177"/>
      <c r="Q43" s="177"/>
    </row>
    <row r="44" spans="1:17" s="499" customFormat="1" ht="14.25" customHeight="1">
      <c r="A44" s="1658" t="s">
        <v>2514</v>
      </c>
      <c r="B44" s="478"/>
      <c r="C44" s="478"/>
      <c r="D44" s="478"/>
      <c r="E44" s="478"/>
      <c r="F44" s="478"/>
      <c r="G44" s="478"/>
      <c r="H44" s="478"/>
      <c r="I44" s="478"/>
      <c r="J44" s="478"/>
      <c r="K44" s="478"/>
      <c r="L44" s="376" t="s">
        <v>2514</v>
      </c>
      <c r="M44" s="556"/>
      <c r="N44" s="172"/>
      <c r="O44" s="172"/>
      <c r="P44" s="177"/>
      <c r="Q44" s="177"/>
    </row>
    <row r="45" spans="1:17" s="499" customFormat="1" ht="11.45" customHeight="1">
      <c r="A45" s="399" t="s">
        <v>576</v>
      </c>
      <c r="B45" s="483">
        <v>389687.28394171601</v>
      </c>
      <c r="C45" s="483">
        <v>0</v>
      </c>
      <c r="D45" s="483">
        <v>11910.534197309789</v>
      </c>
      <c r="E45" s="483">
        <v>49577.653250548712</v>
      </c>
      <c r="F45" s="483">
        <f t="shared" si="4"/>
        <v>61488.187447858501</v>
      </c>
      <c r="G45" s="483">
        <v>33126.846834725198</v>
      </c>
      <c r="H45" s="483">
        <v>1180486.14235387</v>
      </c>
      <c r="I45" s="483">
        <f t="shared" si="8"/>
        <v>1213612.9891885952</v>
      </c>
      <c r="J45" s="483">
        <v>255381.65278330777</v>
      </c>
      <c r="K45" s="483">
        <f t="shared" si="6"/>
        <v>1920170.1133614774</v>
      </c>
      <c r="L45" s="1341" t="s">
        <v>576</v>
      </c>
      <c r="M45" s="556"/>
      <c r="N45" s="1704"/>
      <c r="O45" s="172"/>
      <c r="P45" s="532"/>
      <c r="Q45" s="532"/>
    </row>
    <row r="46" spans="1:17" s="499" customFormat="1" ht="11.45" customHeight="1">
      <c r="A46" s="413" t="s">
        <v>577</v>
      </c>
      <c r="B46" s="478">
        <v>381879.67969403096</v>
      </c>
      <c r="C46" s="478">
        <v>0</v>
      </c>
      <c r="D46" s="478">
        <v>11924.201744056731</v>
      </c>
      <c r="E46" s="478">
        <v>49670.942149286253</v>
      </c>
      <c r="F46" s="478">
        <f t="shared" si="4"/>
        <v>61595.143893342982</v>
      </c>
      <c r="G46" s="478">
        <v>33518.824005750997</v>
      </c>
      <c r="H46" s="478">
        <v>1189195.6043223899</v>
      </c>
      <c r="I46" s="478">
        <f t="shared" si="8"/>
        <v>1222714.4283281409</v>
      </c>
      <c r="J46" s="478">
        <f>256363.374719186+15.2</f>
        <v>256378.574719186</v>
      </c>
      <c r="K46" s="478">
        <f t="shared" si="6"/>
        <v>1922567.8266347009</v>
      </c>
      <c r="L46" s="1339" t="s">
        <v>577</v>
      </c>
      <c r="M46" s="556"/>
      <c r="N46" s="1704"/>
      <c r="O46" s="172"/>
      <c r="P46" s="532"/>
      <c r="Q46" s="532"/>
    </row>
    <row r="47" spans="1:17" s="499" customFormat="1" ht="11.45" customHeight="1">
      <c r="A47" s="399" t="s">
        <v>571</v>
      </c>
      <c r="B47" s="483">
        <v>370920.86295667797</v>
      </c>
      <c r="C47" s="483">
        <v>0</v>
      </c>
      <c r="D47" s="483">
        <v>12147.02353727566</v>
      </c>
      <c r="E47" s="483">
        <v>49372.62355946374</v>
      </c>
      <c r="F47" s="483">
        <f t="shared" si="4"/>
        <v>61519.647096739398</v>
      </c>
      <c r="G47" s="483">
        <v>34448.876896518297</v>
      </c>
      <c r="H47" s="483">
        <v>1204785.87550411</v>
      </c>
      <c r="I47" s="483">
        <f t="shared" si="8"/>
        <v>1239234.7524006283</v>
      </c>
      <c r="J47" s="483">
        <v>258895.51962939699</v>
      </c>
      <c r="K47" s="483">
        <f t="shared" si="6"/>
        <v>1930570.7820834427</v>
      </c>
      <c r="L47" s="1341" t="s">
        <v>571</v>
      </c>
      <c r="M47" s="556"/>
      <c r="N47" s="1704"/>
      <c r="O47" s="172"/>
      <c r="P47" s="532"/>
      <c r="Q47" s="532"/>
    </row>
    <row r="48" spans="1:17" s="499" customFormat="1" ht="11.45" customHeight="1">
      <c r="A48" s="413" t="s">
        <v>578</v>
      </c>
      <c r="B48" s="478">
        <v>368316.82358425792</v>
      </c>
      <c r="C48" s="478">
        <v>0</v>
      </c>
      <c r="D48" s="478">
        <v>12105.158731354408</v>
      </c>
      <c r="E48" s="478">
        <v>51253.013293146476</v>
      </c>
      <c r="F48" s="478">
        <f t="shared" si="4"/>
        <v>63358.172024500884</v>
      </c>
      <c r="G48" s="478">
        <v>34692.154468140601</v>
      </c>
      <c r="H48" s="478">
        <v>1216032.37986813</v>
      </c>
      <c r="I48" s="478">
        <f t="shared" si="8"/>
        <v>1250724.5343362705</v>
      </c>
      <c r="J48" s="478">
        <v>262034.42992121307</v>
      </c>
      <c r="K48" s="478">
        <f t="shared" si="6"/>
        <v>1944433.9598662425</v>
      </c>
      <c r="L48" s="1339" t="s">
        <v>578</v>
      </c>
      <c r="M48" s="556"/>
      <c r="N48" s="1704"/>
      <c r="O48" s="172"/>
      <c r="P48" s="532"/>
      <c r="Q48" s="532"/>
    </row>
    <row r="49" spans="1:20" s="499" customFormat="1" ht="11.45" customHeight="1">
      <c r="A49" s="399" t="s">
        <v>579</v>
      </c>
      <c r="B49" s="483">
        <v>363992.393540702</v>
      </c>
      <c r="C49" s="483">
        <v>0</v>
      </c>
      <c r="D49" s="483">
        <v>12087.009897147349</v>
      </c>
      <c r="E49" s="483">
        <v>49665.222549233775</v>
      </c>
      <c r="F49" s="483">
        <f t="shared" si="4"/>
        <v>61752.232446381124</v>
      </c>
      <c r="G49" s="483">
        <v>35569.522384790398</v>
      </c>
      <c r="H49" s="483">
        <v>1232118.3329076199</v>
      </c>
      <c r="I49" s="483">
        <f t="shared" si="8"/>
        <v>1267687.8552924104</v>
      </c>
      <c r="J49" s="483">
        <v>264163.42103367799</v>
      </c>
      <c r="K49" s="483">
        <f t="shared" si="6"/>
        <v>1957595.9023131714</v>
      </c>
      <c r="L49" s="1341" t="s">
        <v>579</v>
      </c>
      <c r="M49" s="556"/>
      <c r="N49" s="1704"/>
      <c r="O49" s="172"/>
      <c r="P49" s="532"/>
      <c r="Q49" s="532"/>
    </row>
    <row r="50" spans="1:20" s="499" customFormat="1" ht="11.45" customHeight="1" thickBot="1">
      <c r="A50" s="898" t="s">
        <v>572</v>
      </c>
      <c r="B50" s="992">
        <v>351658.47598173399</v>
      </c>
      <c r="C50" s="992">
        <v>0</v>
      </c>
      <c r="D50" s="992">
        <v>12133.653628330168</v>
      </c>
      <c r="E50" s="992">
        <v>51371.731253513135</v>
      </c>
      <c r="F50" s="992">
        <f t="shared" si="4"/>
        <v>63505.384881843303</v>
      </c>
      <c r="G50" s="992">
        <v>36762.847382246502</v>
      </c>
      <c r="H50" s="992">
        <v>1252236.94955039</v>
      </c>
      <c r="I50" s="992">
        <f t="shared" si="8"/>
        <v>1288999.7969326365</v>
      </c>
      <c r="J50" s="992">
        <f>267239.084831321-180.4</f>
        <v>267058.68483132095</v>
      </c>
      <c r="K50" s="992">
        <f t="shared" si="6"/>
        <v>1971222.3426275349</v>
      </c>
      <c r="L50" s="1819" t="s">
        <v>572</v>
      </c>
      <c r="M50" s="556"/>
      <c r="N50" s="1704"/>
      <c r="O50" s="172"/>
      <c r="P50" s="532"/>
      <c r="Q50" s="532"/>
    </row>
    <row r="51" spans="1:20" s="499" customFormat="1">
      <c r="A51" s="460" t="s">
        <v>1440</v>
      </c>
      <c r="B51" s="2016" t="s">
        <v>1463</v>
      </c>
      <c r="C51" s="2016"/>
      <c r="D51" s="2016"/>
      <c r="E51" s="2016"/>
      <c r="F51" s="2016"/>
      <c r="G51" s="461" t="s">
        <v>198</v>
      </c>
      <c r="H51" s="2018" t="s">
        <v>1296</v>
      </c>
      <c r="I51" s="2018"/>
      <c r="J51" s="2018"/>
      <c r="K51" s="2018"/>
      <c r="L51" s="2018"/>
      <c r="N51" s="551"/>
    </row>
    <row r="52" spans="1:20">
      <c r="A52" s="230"/>
      <c r="B52" s="2006" t="s">
        <v>2025</v>
      </c>
      <c r="C52" s="2006"/>
      <c r="D52" s="2006"/>
      <c r="E52" s="1315" t="s">
        <v>1390</v>
      </c>
      <c r="F52" s="275"/>
      <c r="G52" s="551"/>
      <c r="H52" s="1315"/>
      <c r="I52" s="551"/>
      <c r="J52" s="644"/>
      <c r="K52" s="644"/>
      <c r="L52" s="644"/>
      <c r="M52" s="551"/>
      <c r="N52" s="551"/>
      <c r="O52" s="551"/>
    </row>
    <row r="53" spans="1:20">
      <c r="A53" s="499"/>
      <c r="B53" s="499"/>
      <c r="C53" s="556"/>
      <c r="D53" s="551"/>
      <c r="E53" s="556"/>
      <c r="F53" s="1412"/>
      <c r="G53" s="556"/>
      <c r="H53" s="556"/>
      <c r="I53" s="551"/>
      <c r="J53" s="644"/>
      <c r="K53" s="644"/>
      <c r="L53" s="644"/>
      <c r="M53" s="551"/>
      <c r="N53" s="1562"/>
    </row>
    <row r="54" spans="1:20">
      <c r="B54" s="556"/>
      <c r="C54" s="556"/>
      <c r="D54" s="551"/>
      <c r="E54" s="556"/>
      <c r="F54" s="1412"/>
      <c r="G54" s="556"/>
      <c r="H54" s="556"/>
      <c r="I54" s="551"/>
      <c r="J54" s="644"/>
      <c r="K54" s="644"/>
      <c r="L54" s="644"/>
      <c r="M54" s="551"/>
      <c r="N54" s="551"/>
      <c r="O54" s="499"/>
      <c r="P54" s="499"/>
      <c r="Q54" s="499"/>
      <c r="R54" s="499"/>
      <c r="S54" s="499"/>
      <c r="T54" s="499"/>
    </row>
    <row r="55" spans="1:20">
      <c r="B55" s="556"/>
      <c r="C55" s="556"/>
      <c r="D55" s="551"/>
      <c r="E55" s="556"/>
      <c r="F55" s="1412"/>
      <c r="G55" s="556"/>
      <c r="H55" s="556"/>
      <c r="I55" s="551"/>
      <c r="J55" s="644"/>
      <c r="K55" s="644"/>
      <c r="L55" s="644"/>
      <c r="M55" s="551"/>
      <c r="N55" s="551"/>
      <c r="O55" s="499"/>
      <c r="P55" s="499"/>
      <c r="Q55" s="499"/>
      <c r="R55" s="499"/>
      <c r="S55" s="499"/>
      <c r="T55" s="499"/>
    </row>
    <row r="56" spans="1:20">
      <c r="B56" s="556"/>
      <c r="C56" s="556"/>
      <c r="D56" s="551"/>
      <c r="E56" s="556"/>
      <c r="F56" s="1412"/>
      <c r="G56" s="556"/>
      <c r="H56" s="556"/>
      <c r="I56" s="551"/>
      <c r="J56" s="644"/>
      <c r="K56" s="644"/>
      <c r="L56" s="644"/>
      <c r="M56" s="551"/>
    </row>
    <row r="57" spans="1:20">
      <c r="B57" s="551"/>
      <c r="C57" s="556"/>
      <c r="D57" s="551"/>
      <c r="E57" s="556"/>
      <c r="F57" s="1412"/>
      <c r="G57" s="556"/>
      <c r="H57" s="556"/>
      <c r="I57" s="551"/>
      <c r="J57" s="644"/>
      <c r="K57" s="644"/>
      <c r="L57" s="644"/>
    </row>
    <row r="58" spans="1:20" ht="12" customHeight="1">
      <c r="B58" s="551"/>
      <c r="C58" s="556"/>
      <c r="D58" s="551"/>
      <c r="E58" s="551"/>
      <c r="F58" s="1412"/>
      <c r="G58" s="556"/>
      <c r="H58" s="556"/>
      <c r="I58" s="551"/>
      <c r="J58" s="644"/>
      <c r="K58" s="644"/>
      <c r="L58" s="644"/>
      <c r="M58" s="551"/>
      <c r="N58" s="551"/>
      <c r="O58" s="551"/>
    </row>
    <row r="59" spans="1:20" ht="12.75" customHeight="1">
      <c r="C59" s="556"/>
      <c r="D59" s="551"/>
      <c r="E59" s="556"/>
      <c r="F59" s="1412"/>
      <c r="G59" s="556"/>
      <c r="H59" s="556"/>
      <c r="I59" s="556"/>
      <c r="J59" s="644"/>
      <c r="K59" s="644"/>
      <c r="L59" s="644"/>
      <c r="N59" s="551"/>
    </row>
    <row r="60" spans="1:20" ht="12" customHeight="1">
      <c r="C60" s="556"/>
      <c r="D60" s="551"/>
      <c r="E60" s="551"/>
      <c r="F60" s="1269"/>
      <c r="G60" s="551"/>
      <c r="H60" s="556"/>
      <c r="I60" s="556"/>
      <c r="J60" s="644"/>
      <c r="K60" s="644"/>
      <c r="L60" s="644"/>
    </row>
    <row r="61" spans="1:20" ht="12.75" customHeight="1">
      <c r="C61" s="556"/>
      <c r="D61" s="551"/>
      <c r="E61" s="551"/>
      <c r="F61" s="1269"/>
      <c r="G61" s="551"/>
      <c r="H61" s="556"/>
      <c r="I61" s="556"/>
      <c r="J61" s="551"/>
      <c r="K61" s="644"/>
      <c r="L61" s="644"/>
    </row>
    <row r="62" spans="1:20" ht="13.5" customHeight="1">
      <c r="C62" s="556"/>
      <c r="D62" s="551"/>
      <c r="E62" s="551"/>
      <c r="F62" s="1269"/>
      <c r="G62" s="551"/>
      <c r="H62" s="556"/>
      <c r="I62" s="556"/>
      <c r="J62" s="551"/>
      <c r="K62" s="644"/>
    </row>
    <row r="63" spans="1:20" ht="14.25" customHeight="1">
      <c r="C63" s="556"/>
      <c r="D63" s="551"/>
      <c r="E63" s="551"/>
      <c r="F63" s="1269"/>
      <c r="G63" s="551"/>
      <c r="H63" s="556"/>
      <c r="I63" s="556"/>
      <c r="J63" s="551"/>
      <c r="K63" s="644"/>
    </row>
    <row r="64" spans="1:20" ht="15" customHeight="1">
      <c r="C64" s="556"/>
      <c r="D64" s="551"/>
      <c r="E64" s="551"/>
      <c r="F64" s="1269"/>
      <c r="G64" s="551"/>
      <c r="H64" s="551"/>
      <c r="I64" s="556"/>
      <c r="J64" s="551"/>
      <c r="K64" s="644"/>
    </row>
    <row r="65" spans="4:11">
      <c r="D65" s="551"/>
      <c r="E65" s="551"/>
      <c r="F65" s="551"/>
      <c r="G65" s="551"/>
      <c r="H65" s="551"/>
      <c r="I65" s="551"/>
    </row>
    <row r="66" spans="4:11">
      <c r="D66" s="551"/>
      <c r="E66" s="551"/>
      <c r="F66" s="551"/>
      <c r="G66" s="551"/>
      <c r="H66" s="551"/>
      <c r="I66" s="551"/>
    </row>
    <row r="67" spans="4:11">
      <c r="D67" s="551"/>
      <c r="E67" s="551"/>
      <c r="F67" s="551"/>
      <c r="G67" s="551"/>
      <c r="H67" s="551"/>
      <c r="I67" s="551"/>
      <c r="J67" s="551"/>
      <c r="K67" s="551"/>
    </row>
    <row r="68" spans="4:11">
      <c r="D68" s="551"/>
      <c r="E68" s="551"/>
      <c r="F68" s="551"/>
      <c r="G68" s="551"/>
      <c r="H68" s="551"/>
      <c r="I68" s="551"/>
      <c r="J68" s="551"/>
    </row>
    <row r="69" spans="4:11">
      <c r="D69" s="551"/>
      <c r="E69" s="551"/>
      <c r="F69" s="551"/>
      <c r="G69" s="551"/>
      <c r="H69" s="551"/>
      <c r="I69" s="551"/>
      <c r="J69" s="551"/>
    </row>
    <row r="70" spans="4:11">
      <c r="D70" s="551"/>
      <c r="E70" s="551"/>
      <c r="F70" s="551"/>
      <c r="G70" s="551"/>
      <c r="H70" s="551"/>
      <c r="I70" s="551"/>
      <c r="J70" s="551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A3:A5"/>
    <mergeCell ref="J3:J4"/>
    <mergeCell ref="B51:F51"/>
    <mergeCell ref="B3:B4"/>
    <mergeCell ref="C3:C4"/>
    <mergeCell ref="H51:L51"/>
    <mergeCell ref="B52:D52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7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80"/>
  <sheetViews>
    <sheetView zoomScale="180" zoomScaleNormal="180" workbookViewId="0">
      <pane xSplit="1" ySplit="7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F57" sqref="F57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996" t="s">
        <v>1323</v>
      </c>
      <c r="B1" s="1996"/>
      <c r="C1" s="1996"/>
      <c r="D1" s="1996"/>
      <c r="E1" s="1996"/>
      <c r="F1" s="1996" t="s">
        <v>206</v>
      </c>
      <c r="G1" s="1996"/>
    </row>
    <row r="2" spans="1:9" s="41" customFormat="1" ht="12">
      <c r="F2" s="1912" t="s">
        <v>24</v>
      </c>
      <c r="G2" s="2022"/>
    </row>
    <row r="3" spans="1:9" s="400" customFormat="1" ht="15" customHeight="1">
      <c r="A3" s="1905" t="s">
        <v>952</v>
      </c>
      <c r="B3" s="1871" t="s">
        <v>867</v>
      </c>
      <c r="C3" s="1871" t="s">
        <v>213</v>
      </c>
      <c r="D3" s="1908" t="s">
        <v>204</v>
      </c>
      <c r="E3" s="1909"/>
      <c r="F3" s="1909"/>
      <c r="G3" s="1871" t="s">
        <v>852</v>
      </c>
    </row>
    <row r="4" spans="1:9" s="400" customFormat="1" ht="12.75" customHeight="1">
      <c r="A4" s="1906"/>
      <c r="B4" s="1922"/>
      <c r="C4" s="2021"/>
      <c r="D4" s="2008" t="s">
        <v>205</v>
      </c>
      <c r="E4" s="2019"/>
      <c r="F4" s="1897" t="s">
        <v>1277</v>
      </c>
      <c r="G4" s="1922"/>
    </row>
    <row r="5" spans="1:9" s="177" customFormat="1" ht="19.5" customHeight="1">
      <c r="A5" s="1906"/>
      <c r="B5" s="1922"/>
      <c r="C5" s="2021"/>
      <c r="D5" s="1871" t="s">
        <v>2373</v>
      </c>
      <c r="E5" s="1871" t="s">
        <v>203</v>
      </c>
      <c r="F5" s="2023"/>
      <c r="G5" s="1922"/>
    </row>
    <row r="6" spans="1:9" s="177" customFormat="1" ht="14.25" customHeight="1">
      <c r="A6" s="1906"/>
      <c r="B6" s="1872"/>
      <c r="C6" s="2020"/>
      <c r="D6" s="1872"/>
      <c r="E6" s="2020"/>
      <c r="F6" s="1898"/>
      <c r="G6" s="1872"/>
    </row>
    <row r="7" spans="1:9" s="20" customFormat="1" ht="10.5" customHeight="1">
      <c r="A7" s="1907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25" customHeight="1">
      <c r="A8" s="9" t="s">
        <v>81</v>
      </c>
      <c r="B8" s="233">
        <v>46157.1</v>
      </c>
      <c r="C8" s="233">
        <v>4308.3</v>
      </c>
      <c r="D8" s="233">
        <v>23468</v>
      </c>
      <c r="E8" s="233">
        <v>6367.5</v>
      </c>
      <c r="F8" s="233">
        <v>209.4</v>
      </c>
      <c r="G8" s="233">
        <f>B8+C8+D8+F8</f>
        <v>74142.799999999988</v>
      </c>
      <c r="H8" s="40"/>
      <c r="I8" s="40"/>
    </row>
    <row r="9" spans="1:9" ht="11.25" customHeight="1">
      <c r="A9" s="319" t="s">
        <v>192</v>
      </c>
      <c r="B9" s="304">
        <v>54795.1</v>
      </c>
      <c r="C9" s="304">
        <v>5731.8</v>
      </c>
      <c r="D9" s="304">
        <v>29007.7</v>
      </c>
      <c r="E9" s="304">
        <v>7766.5</v>
      </c>
      <c r="F9" s="304">
        <v>199.8</v>
      </c>
      <c r="G9" s="304">
        <v>89734.400000000009</v>
      </c>
      <c r="H9" s="40"/>
      <c r="I9" s="40"/>
    </row>
    <row r="10" spans="1:9" s="170" customFormat="1" ht="11.25" customHeight="1">
      <c r="A10" s="168" t="s">
        <v>757</v>
      </c>
      <c r="B10" s="239">
        <v>58417.1</v>
      </c>
      <c r="C10" s="239">
        <v>6479.4</v>
      </c>
      <c r="D10" s="239">
        <v>32662.3</v>
      </c>
      <c r="E10" s="239">
        <v>10289.9</v>
      </c>
      <c r="F10" s="239">
        <v>243.9</v>
      </c>
      <c r="G10" s="239">
        <v>97802.7</v>
      </c>
      <c r="H10" s="168"/>
      <c r="I10" s="40"/>
    </row>
    <row r="11" spans="1:9" s="170" customFormat="1" ht="11.25" customHeight="1">
      <c r="A11" s="302" t="s">
        <v>866</v>
      </c>
      <c r="B11" s="304">
        <v>67552.899999999994</v>
      </c>
      <c r="C11" s="304">
        <v>7819.4</v>
      </c>
      <c r="D11" s="304">
        <v>36803.4</v>
      </c>
      <c r="E11" s="304">
        <v>8422.6</v>
      </c>
      <c r="F11" s="304">
        <v>313.70000000000005</v>
      </c>
      <c r="G11" s="304">
        <v>112489.39999999998</v>
      </c>
      <c r="H11" s="168"/>
      <c r="I11" s="40"/>
    </row>
    <row r="12" spans="1:9" s="608" customFormat="1" ht="11.25" customHeight="1">
      <c r="A12" s="523" t="s">
        <v>1051</v>
      </c>
      <c r="B12" s="239">
        <v>76908.399999999994</v>
      </c>
      <c r="C12" s="239">
        <v>8576.7999999999993</v>
      </c>
      <c r="D12" s="239">
        <v>43997.7</v>
      </c>
      <c r="E12" s="239">
        <v>7480.2</v>
      </c>
      <c r="F12" s="239">
        <v>392.4</v>
      </c>
      <c r="G12" s="239">
        <v>129875.29999999999</v>
      </c>
      <c r="H12" s="495"/>
      <c r="I12" s="606"/>
    </row>
    <row r="13" spans="1:9" s="608" customFormat="1" ht="11.25" customHeight="1">
      <c r="A13" s="312" t="s">
        <v>1105</v>
      </c>
      <c r="B13" s="478">
        <v>87940.800000000003</v>
      </c>
      <c r="C13" s="478">
        <v>10213.1</v>
      </c>
      <c r="D13" s="478">
        <v>49838.9</v>
      </c>
      <c r="E13" s="478">
        <v>7889.3</v>
      </c>
      <c r="F13" s="478">
        <v>489.7</v>
      </c>
      <c r="G13" s="478">
        <v>148482.50000000003</v>
      </c>
      <c r="H13" s="495"/>
      <c r="I13" s="56"/>
    </row>
    <row r="14" spans="1:9" s="464" customFormat="1" ht="11.25" customHeight="1">
      <c r="A14" s="237" t="s">
        <v>1231</v>
      </c>
      <c r="B14" s="483">
        <v>122074.5</v>
      </c>
      <c r="C14" s="483">
        <v>10230.700000000001</v>
      </c>
      <c r="D14" s="483">
        <v>60299</v>
      </c>
      <c r="E14" s="483">
        <v>7133.4</v>
      </c>
      <c r="F14" s="483">
        <v>597.1</v>
      </c>
      <c r="G14" s="483">
        <v>193201.30000000002</v>
      </c>
      <c r="H14" s="463"/>
      <c r="I14" s="239"/>
    </row>
    <row r="15" spans="1:9" s="464" customFormat="1" ht="11.25" customHeight="1">
      <c r="A15" s="302" t="s">
        <v>1263</v>
      </c>
      <c r="B15" s="478">
        <v>137531.79999999999</v>
      </c>
      <c r="C15" s="478">
        <v>13733.4</v>
      </c>
      <c r="D15" s="478">
        <v>72732.7</v>
      </c>
      <c r="E15" s="478">
        <v>8987.9</v>
      </c>
      <c r="F15" s="478">
        <v>661.5</v>
      </c>
      <c r="G15" s="478">
        <v>224659.39999999997</v>
      </c>
      <c r="H15" s="463"/>
      <c r="I15" s="239"/>
    </row>
    <row r="16" spans="1:9" s="464" customFormat="1" ht="11.25" customHeight="1">
      <c r="A16" s="237" t="s">
        <v>1392</v>
      </c>
      <c r="B16" s="483">
        <v>140917.5</v>
      </c>
      <c r="C16" s="483">
        <v>14023</v>
      </c>
      <c r="D16" s="483">
        <v>78043.399999999994</v>
      </c>
      <c r="E16" s="483">
        <v>10474.5</v>
      </c>
      <c r="F16" s="483">
        <v>759.1</v>
      </c>
      <c r="G16" s="483">
        <v>233743</v>
      </c>
      <c r="H16" s="463"/>
      <c r="I16" s="239"/>
    </row>
    <row r="17" spans="1:10" s="168" customFormat="1" ht="11.25" customHeight="1">
      <c r="A17" s="341" t="s">
        <v>1511</v>
      </c>
      <c r="B17" s="478">
        <v>154287</v>
      </c>
      <c r="C17" s="478">
        <v>16100.1</v>
      </c>
      <c r="D17" s="478">
        <v>75012.100000000006</v>
      </c>
      <c r="E17" s="478">
        <v>11315.3</v>
      </c>
      <c r="F17" s="478">
        <v>788.5</v>
      </c>
      <c r="G17" s="478">
        <v>246187.7</v>
      </c>
    </row>
    <row r="18" spans="1:10" s="168" customFormat="1" ht="11.25" customHeight="1">
      <c r="A18" s="168" t="s">
        <v>1602</v>
      </c>
      <c r="B18" s="483">
        <v>192114.5</v>
      </c>
      <c r="C18" s="483">
        <v>15979.6</v>
      </c>
      <c r="D18" s="483">
        <v>75768.3</v>
      </c>
      <c r="E18" s="483">
        <v>16308.2</v>
      </c>
      <c r="F18" s="483">
        <v>621</v>
      </c>
      <c r="G18" s="483">
        <v>284483.40000000002</v>
      </c>
    </row>
    <row r="19" spans="1:10" s="168" customFormat="1" ht="11.25" customHeight="1">
      <c r="A19" s="321" t="s">
        <v>1668</v>
      </c>
      <c r="B19" s="573">
        <v>209517.7</v>
      </c>
      <c r="C19" s="573">
        <v>17370.599999999999</v>
      </c>
      <c r="D19" s="573">
        <v>120597</v>
      </c>
      <c r="E19" s="573">
        <v>11944.9</v>
      </c>
      <c r="F19" s="573">
        <v>586.5</v>
      </c>
      <c r="G19" s="573">
        <v>348071.80000000005</v>
      </c>
      <c r="I19" s="778"/>
    </row>
    <row r="20" spans="1:10" s="168" customFormat="1" ht="11.25" customHeight="1">
      <c r="A20" s="196" t="s">
        <v>2018</v>
      </c>
      <c r="B20" s="570">
        <f t="shared" ref="B20:G20" si="0">B32</f>
        <v>236448.9</v>
      </c>
      <c r="C20" s="570">
        <f t="shared" si="0"/>
        <v>19733.8</v>
      </c>
      <c r="D20" s="570">
        <f t="shared" si="0"/>
        <v>90382.9</v>
      </c>
      <c r="E20" s="570">
        <f t="shared" si="0"/>
        <v>7819.1</v>
      </c>
      <c r="F20" s="570">
        <f t="shared" si="0"/>
        <v>596.4</v>
      </c>
      <c r="G20" s="570">
        <f t="shared" si="0"/>
        <v>347162</v>
      </c>
      <c r="I20" s="778"/>
    </row>
    <row r="21" spans="1:10" s="168" customFormat="1" ht="11.25" customHeight="1">
      <c r="A21" s="319" t="s">
        <v>576</v>
      </c>
      <c r="B21" s="478">
        <v>227042.9</v>
      </c>
      <c r="C21" s="478">
        <v>19028.900000000001</v>
      </c>
      <c r="D21" s="478">
        <v>102910.1</v>
      </c>
      <c r="E21" s="478">
        <v>12171</v>
      </c>
      <c r="F21" s="478">
        <v>569.29999999999995</v>
      </c>
      <c r="G21" s="478">
        <f t="shared" ref="G21:G38" si="1">B21+C21+D21+F21</f>
        <v>349551.2</v>
      </c>
      <c r="I21" s="778"/>
      <c r="J21" s="778"/>
    </row>
    <row r="22" spans="1:10" s="168" customFormat="1" ht="11.25" customHeight="1">
      <c r="A22" s="168" t="s">
        <v>577</v>
      </c>
      <c r="B22" s="483">
        <v>213520.7</v>
      </c>
      <c r="C22" s="483">
        <v>20154.900000000001</v>
      </c>
      <c r="D22" s="483">
        <v>91655.3</v>
      </c>
      <c r="E22" s="483">
        <v>10259.4</v>
      </c>
      <c r="F22" s="483">
        <v>530.1</v>
      </c>
      <c r="G22" s="483">
        <f t="shared" si="1"/>
        <v>325861</v>
      </c>
      <c r="I22" s="778"/>
      <c r="J22" s="778"/>
    </row>
    <row r="23" spans="1:10" s="168" customFormat="1" ht="11.25" customHeight="1">
      <c r="A23" s="319" t="s">
        <v>571</v>
      </c>
      <c r="B23" s="478">
        <v>209618.4</v>
      </c>
      <c r="C23" s="478">
        <v>18053.3</v>
      </c>
      <c r="D23" s="478">
        <v>95141.5</v>
      </c>
      <c r="E23" s="478">
        <v>10212.9</v>
      </c>
      <c r="F23" s="478">
        <v>521.1</v>
      </c>
      <c r="G23" s="478">
        <f t="shared" si="1"/>
        <v>323334.29999999993</v>
      </c>
      <c r="I23" s="778"/>
      <c r="J23" s="778"/>
    </row>
    <row r="24" spans="1:10" s="168" customFormat="1" ht="11.25" customHeight="1">
      <c r="A24" s="168" t="s">
        <v>578</v>
      </c>
      <c r="B24" s="483">
        <v>205895.2</v>
      </c>
      <c r="C24" s="483">
        <v>19832.5</v>
      </c>
      <c r="D24" s="483">
        <v>93727.7</v>
      </c>
      <c r="E24" s="483">
        <v>9120.9</v>
      </c>
      <c r="F24" s="483">
        <v>502.8</v>
      </c>
      <c r="G24" s="483">
        <f t="shared" si="1"/>
        <v>319958.2</v>
      </c>
      <c r="I24" s="778"/>
    </row>
    <row r="25" spans="1:10" s="168" customFormat="1" ht="11.25" customHeight="1">
      <c r="A25" s="319" t="s">
        <v>579</v>
      </c>
      <c r="B25" s="478">
        <v>208296.4</v>
      </c>
      <c r="C25" s="478">
        <v>18720.7</v>
      </c>
      <c r="D25" s="478">
        <v>104974.3</v>
      </c>
      <c r="E25" s="478">
        <v>7390.7</v>
      </c>
      <c r="F25" s="478">
        <v>497.4</v>
      </c>
      <c r="G25" s="478">
        <f t="shared" si="1"/>
        <v>332488.80000000005</v>
      </c>
      <c r="I25" s="778"/>
    </row>
    <row r="26" spans="1:10" s="168" customFormat="1" ht="11.25" customHeight="1">
      <c r="A26" s="168" t="s">
        <v>572</v>
      </c>
      <c r="B26" s="483">
        <v>210723.1</v>
      </c>
      <c r="C26" s="483">
        <v>18765.099999999999</v>
      </c>
      <c r="D26" s="483">
        <v>93608.8</v>
      </c>
      <c r="E26" s="483">
        <v>7456</v>
      </c>
      <c r="F26" s="483">
        <v>569.29999999999995</v>
      </c>
      <c r="G26" s="483">
        <f t="shared" si="1"/>
        <v>323666.3</v>
      </c>
      <c r="I26" s="778"/>
    </row>
    <row r="27" spans="1:10" s="168" customFormat="1" ht="11.25" customHeight="1">
      <c r="A27" s="319" t="s">
        <v>580</v>
      </c>
      <c r="B27" s="478">
        <v>211777.2</v>
      </c>
      <c r="C27" s="478">
        <v>19620.8</v>
      </c>
      <c r="D27" s="478">
        <v>91311.7</v>
      </c>
      <c r="E27" s="478">
        <v>8370.4</v>
      </c>
      <c r="F27" s="478">
        <v>589.19999999999993</v>
      </c>
      <c r="G27" s="478">
        <f t="shared" si="1"/>
        <v>323298.90000000002</v>
      </c>
      <c r="I27" s="778"/>
    </row>
    <row r="28" spans="1:10" s="168" customFormat="1" ht="11.25" customHeight="1">
      <c r="A28" s="168" t="s">
        <v>581</v>
      </c>
      <c r="B28" s="483">
        <v>212270.2</v>
      </c>
      <c r="C28" s="483">
        <v>20604.400000000001</v>
      </c>
      <c r="D28" s="483">
        <v>88916.7</v>
      </c>
      <c r="E28" s="483">
        <v>7672.7</v>
      </c>
      <c r="F28" s="483">
        <v>493.8</v>
      </c>
      <c r="G28" s="483">
        <f t="shared" si="1"/>
        <v>322285.09999999998</v>
      </c>
      <c r="I28" s="778"/>
    </row>
    <row r="29" spans="1:10" s="168" customFormat="1" ht="11.25" customHeight="1">
      <c r="A29" s="319" t="s">
        <v>573</v>
      </c>
      <c r="B29" s="478">
        <v>212686.7</v>
      </c>
      <c r="C29" s="478">
        <v>19237.099999999999</v>
      </c>
      <c r="D29" s="478">
        <v>88694</v>
      </c>
      <c r="E29" s="478">
        <v>7866.5</v>
      </c>
      <c r="F29" s="478">
        <v>538.4</v>
      </c>
      <c r="G29" s="478">
        <f t="shared" si="1"/>
        <v>321156.20000000007</v>
      </c>
      <c r="I29" s="778"/>
    </row>
    <row r="30" spans="1:10" s="168" customFormat="1" ht="11.25" customHeight="1">
      <c r="A30" s="168" t="s">
        <v>582</v>
      </c>
      <c r="B30" s="483">
        <v>236791.9</v>
      </c>
      <c r="C30" s="483">
        <v>18973.400000000001</v>
      </c>
      <c r="D30" s="483">
        <v>83495.5</v>
      </c>
      <c r="E30" s="483">
        <v>8004.6</v>
      </c>
      <c r="F30" s="483">
        <v>528.5</v>
      </c>
      <c r="G30" s="483">
        <f t="shared" si="1"/>
        <v>339789.3</v>
      </c>
      <c r="I30" s="778"/>
    </row>
    <row r="31" spans="1:10" s="168" customFormat="1" ht="11.25" customHeight="1">
      <c r="A31" s="319" t="s">
        <v>583</v>
      </c>
      <c r="B31" s="478">
        <v>225148.1</v>
      </c>
      <c r="C31" s="478">
        <v>20187.3</v>
      </c>
      <c r="D31" s="478">
        <v>84949.8</v>
      </c>
      <c r="E31" s="478">
        <v>7882.2</v>
      </c>
      <c r="F31" s="478">
        <v>544.20000000000005</v>
      </c>
      <c r="G31" s="478">
        <f t="shared" si="1"/>
        <v>330829.40000000002</v>
      </c>
      <c r="I31" s="778"/>
    </row>
    <row r="32" spans="1:10" s="168" customFormat="1" ht="11.25" customHeight="1">
      <c r="A32" s="168" t="s">
        <v>574</v>
      </c>
      <c r="B32" s="483">
        <v>236448.9</v>
      </c>
      <c r="C32" s="483">
        <v>19733.8</v>
      </c>
      <c r="D32" s="483">
        <v>90382.9</v>
      </c>
      <c r="E32" s="483">
        <v>7819.1</v>
      </c>
      <c r="F32" s="483">
        <v>596.4</v>
      </c>
      <c r="G32" s="483">
        <f>B32+C32+D32+F32</f>
        <v>347162</v>
      </c>
      <c r="I32" s="778"/>
    </row>
    <row r="33" spans="1:9" s="168" customFormat="1" ht="11.25" customHeight="1">
      <c r="A33" s="375" t="s">
        <v>2300</v>
      </c>
      <c r="B33" s="573">
        <f t="shared" ref="B33:G33" si="2">B45</f>
        <v>291913.5</v>
      </c>
      <c r="C33" s="573">
        <f t="shared" si="2"/>
        <v>20034.3</v>
      </c>
      <c r="D33" s="573">
        <f t="shared" si="2"/>
        <v>70967.3</v>
      </c>
      <c r="E33" s="573">
        <f t="shared" si="2"/>
        <v>13264.7</v>
      </c>
      <c r="F33" s="573">
        <f t="shared" si="2"/>
        <v>670.1</v>
      </c>
      <c r="G33" s="573">
        <f t="shared" si="2"/>
        <v>383585.19999999995</v>
      </c>
      <c r="I33" s="778"/>
    </row>
    <row r="34" spans="1:9" s="168" customFormat="1" ht="11.25" customHeight="1">
      <c r="A34" s="168" t="s">
        <v>576</v>
      </c>
      <c r="B34" s="483">
        <v>242026.2</v>
      </c>
      <c r="C34" s="483">
        <v>22577.3</v>
      </c>
      <c r="D34" s="483">
        <v>79692.100000000006</v>
      </c>
      <c r="E34" s="483">
        <v>7897.6</v>
      </c>
      <c r="F34" s="483">
        <v>635.4</v>
      </c>
      <c r="G34" s="483">
        <f t="shared" si="1"/>
        <v>344931</v>
      </c>
      <c r="I34" s="778"/>
    </row>
    <row r="35" spans="1:9" s="168" customFormat="1" ht="11.25" customHeight="1">
      <c r="A35" s="319" t="s">
        <v>577</v>
      </c>
      <c r="B35" s="478">
        <v>241876.3</v>
      </c>
      <c r="C35" s="478">
        <v>21036.7</v>
      </c>
      <c r="D35" s="478">
        <v>77780</v>
      </c>
      <c r="E35" s="478">
        <v>9432.9</v>
      </c>
      <c r="F35" s="478">
        <v>643.5</v>
      </c>
      <c r="G35" s="478">
        <f t="shared" si="1"/>
        <v>341336.5</v>
      </c>
      <c r="I35" s="778"/>
    </row>
    <row r="36" spans="1:9" s="168" customFormat="1" ht="11.25" customHeight="1">
      <c r="A36" s="168" t="s">
        <v>571</v>
      </c>
      <c r="B36" s="483">
        <v>239998.2</v>
      </c>
      <c r="C36" s="483">
        <v>21638.5</v>
      </c>
      <c r="D36" s="483">
        <v>77791.399999999994</v>
      </c>
      <c r="E36" s="483">
        <v>9161.6</v>
      </c>
      <c r="F36" s="483">
        <v>652.30000000000007</v>
      </c>
      <c r="G36" s="483">
        <f t="shared" si="1"/>
        <v>340080.39999999997</v>
      </c>
      <c r="I36" s="778"/>
    </row>
    <row r="37" spans="1:9" s="168" customFormat="1" ht="11.25" customHeight="1">
      <c r="A37" s="319" t="s">
        <v>578</v>
      </c>
      <c r="B37" s="478">
        <v>236114.2</v>
      </c>
      <c r="C37" s="478">
        <v>21959</v>
      </c>
      <c r="D37" s="478">
        <v>76791.7</v>
      </c>
      <c r="E37" s="478">
        <v>8451.1</v>
      </c>
      <c r="F37" s="478">
        <v>611.70000000000005</v>
      </c>
      <c r="G37" s="478">
        <f t="shared" si="1"/>
        <v>335476.60000000003</v>
      </c>
      <c r="I37" s="778"/>
    </row>
    <row r="38" spans="1:9" s="168" customFormat="1" ht="11.25" customHeight="1">
      <c r="A38" s="168" t="s">
        <v>579</v>
      </c>
      <c r="B38" s="483">
        <v>252982</v>
      </c>
      <c r="C38" s="483">
        <v>21617.5</v>
      </c>
      <c r="D38" s="483">
        <v>71164</v>
      </c>
      <c r="E38" s="483">
        <v>7515</v>
      </c>
      <c r="F38" s="483">
        <v>602.29999999999995</v>
      </c>
      <c r="G38" s="483">
        <f t="shared" si="1"/>
        <v>346365.8</v>
      </c>
      <c r="I38" s="778"/>
    </row>
    <row r="39" spans="1:9" s="168" customFormat="1" ht="11.25" customHeight="1">
      <c r="A39" s="319" t="s">
        <v>572</v>
      </c>
      <c r="B39" s="478">
        <v>268181.5</v>
      </c>
      <c r="C39" s="478">
        <v>24182</v>
      </c>
      <c r="D39" s="478">
        <v>87030.2</v>
      </c>
      <c r="E39" s="478">
        <v>8573.2999999999993</v>
      </c>
      <c r="F39" s="478">
        <v>618</v>
      </c>
      <c r="G39" s="478">
        <f t="shared" ref="G39:G45" si="3">B39+C39+D39+F39</f>
        <v>380011.7</v>
      </c>
      <c r="I39" s="778"/>
    </row>
    <row r="40" spans="1:9" s="168" customFormat="1" ht="11.25" customHeight="1">
      <c r="A40" s="168" t="s">
        <v>580</v>
      </c>
      <c r="B40" s="483">
        <v>262992.8</v>
      </c>
      <c r="C40" s="483">
        <v>24150.5</v>
      </c>
      <c r="D40" s="483">
        <v>64970.5</v>
      </c>
      <c r="E40" s="483">
        <v>8834.4</v>
      </c>
      <c r="F40" s="483">
        <v>676.5</v>
      </c>
      <c r="G40" s="483">
        <f t="shared" si="3"/>
        <v>352790.3</v>
      </c>
      <c r="I40" s="256"/>
    </row>
    <row r="41" spans="1:9" s="168" customFormat="1" ht="11.25" customHeight="1">
      <c r="A41" s="319" t="s">
        <v>581</v>
      </c>
      <c r="B41" s="478">
        <v>257667.6</v>
      </c>
      <c r="C41" s="478">
        <v>24827.200000000001</v>
      </c>
      <c r="D41" s="478">
        <v>67254.8</v>
      </c>
      <c r="E41" s="478">
        <v>9564.9</v>
      </c>
      <c r="F41" s="478">
        <v>597.29999999999995</v>
      </c>
      <c r="G41" s="478">
        <f t="shared" si="3"/>
        <v>350346.89999999997</v>
      </c>
      <c r="I41" s="256"/>
    </row>
    <row r="42" spans="1:9" s="168" customFormat="1" ht="11.25" customHeight="1">
      <c r="A42" s="168" t="s">
        <v>573</v>
      </c>
      <c r="B42" s="483">
        <v>254668.6</v>
      </c>
      <c r="C42" s="483">
        <v>24292.7</v>
      </c>
      <c r="D42" s="483">
        <v>65945.399999999994</v>
      </c>
      <c r="E42" s="483">
        <v>10934.6</v>
      </c>
      <c r="F42" s="483">
        <v>695.1</v>
      </c>
      <c r="G42" s="483">
        <f t="shared" si="3"/>
        <v>345601.79999999993</v>
      </c>
      <c r="I42" s="256"/>
    </row>
    <row r="43" spans="1:9" s="168" customFormat="1" ht="11.25" customHeight="1">
      <c r="A43" s="319" t="s">
        <v>582</v>
      </c>
      <c r="B43" s="478">
        <v>263373.59999999998</v>
      </c>
      <c r="C43" s="478">
        <v>28274.7</v>
      </c>
      <c r="D43" s="478">
        <v>65344.9</v>
      </c>
      <c r="E43" s="478">
        <v>9665.1</v>
      </c>
      <c r="F43" s="478">
        <v>619.1</v>
      </c>
      <c r="G43" s="478">
        <f t="shared" si="3"/>
        <v>357612.3</v>
      </c>
      <c r="I43" s="256"/>
    </row>
    <row r="44" spans="1:9" s="168" customFormat="1" ht="11.25" customHeight="1">
      <c r="A44" s="168" t="s">
        <v>583</v>
      </c>
      <c r="B44" s="483">
        <v>255829.9</v>
      </c>
      <c r="C44" s="483">
        <v>24171.599999999999</v>
      </c>
      <c r="D44" s="483">
        <v>67687.199999999997</v>
      </c>
      <c r="E44" s="483">
        <v>9232.4</v>
      </c>
      <c r="F44" s="483">
        <v>580</v>
      </c>
      <c r="G44" s="483">
        <f t="shared" si="3"/>
        <v>348268.7</v>
      </c>
      <c r="I44" s="256"/>
    </row>
    <row r="45" spans="1:9" s="168" customFormat="1" ht="11.25" customHeight="1">
      <c r="A45" s="319" t="s">
        <v>574</v>
      </c>
      <c r="B45" s="478">
        <v>291913.5</v>
      </c>
      <c r="C45" s="478">
        <v>20034.3</v>
      </c>
      <c r="D45" s="478">
        <v>70967.3</v>
      </c>
      <c r="E45" s="478">
        <v>13264.7</v>
      </c>
      <c r="F45" s="478">
        <v>670.1</v>
      </c>
      <c r="G45" s="478">
        <f t="shared" si="3"/>
        <v>383585.19999999995</v>
      </c>
      <c r="I45" s="256"/>
    </row>
    <row r="46" spans="1:9" s="168" customFormat="1" ht="11.25" customHeight="1">
      <c r="A46" s="1663" t="s">
        <v>2514</v>
      </c>
      <c r="B46" s="483"/>
      <c r="C46" s="483"/>
      <c r="D46" s="483"/>
      <c r="E46" s="483"/>
      <c r="F46" s="483"/>
      <c r="G46" s="483"/>
      <c r="I46" s="256"/>
    </row>
    <row r="47" spans="1:9" s="168" customFormat="1" ht="11.25" customHeight="1">
      <c r="A47" s="319" t="s">
        <v>576</v>
      </c>
      <c r="B47" s="478">
        <v>266354.59999999998</v>
      </c>
      <c r="C47" s="478">
        <v>26179.4</v>
      </c>
      <c r="D47" s="478">
        <v>72221</v>
      </c>
      <c r="E47" s="478">
        <v>11570.7</v>
      </c>
      <c r="F47" s="478">
        <v>904.6</v>
      </c>
      <c r="G47" s="478">
        <f t="shared" ref="G47:G52" si="4">B47+C47+D47+F47</f>
        <v>365659.6</v>
      </c>
      <c r="I47" s="256"/>
    </row>
    <row r="48" spans="1:9" s="168" customFormat="1" ht="11.25" customHeight="1">
      <c r="A48" s="168" t="s">
        <v>577</v>
      </c>
      <c r="B48" s="483">
        <v>258356.3</v>
      </c>
      <c r="C48" s="483">
        <v>24130.7</v>
      </c>
      <c r="D48" s="483">
        <v>67888.5</v>
      </c>
      <c r="E48" s="483">
        <v>12028.9</v>
      </c>
      <c r="F48" s="483">
        <v>833.1</v>
      </c>
      <c r="G48" s="483">
        <f t="shared" si="4"/>
        <v>351208.6</v>
      </c>
      <c r="I48" s="256"/>
    </row>
    <row r="49" spans="1:9" s="168" customFormat="1" ht="11.25" customHeight="1">
      <c r="A49" s="319" t="s">
        <v>571</v>
      </c>
      <c r="B49" s="478">
        <v>253505.4</v>
      </c>
      <c r="C49" s="478">
        <v>23807.4</v>
      </c>
      <c r="D49" s="478">
        <v>66319.899999999994</v>
      </c>
      <c r="E49" s="478">
        <v>10463.799999999999</v>
      </c>
      <c r="F49" s="478">
        <v>601.20000000000005</v>
      </c>
      <c r="G49" s="478">
        <f t="shared" si="4"/>
        <v>344233.89999999997</v>
      </c>
      <c r="I49" s="256"/>
    </row>
    <row r="50" spans="1:9" s="168" customFormat="1" ht="11.25" customHeight="1">
      <c r="A50" s="168" t="s">
        <v>578</v>
      </c>
      <c r="B50" s="483">
        <v>245943.9</v>
      </c>
      <c r="C50" s="483">
        <v>27093.3</v>
      </c>
      <c r="D50" s="483">
        <v>66401.8</v>
      </c>
      <c r="E50" s="483">
        <v>11125.6</v>
      </c>
      <c r="F50" s="483">
        <v>519.4</v>
      </c>
      <c r="G50" s="483">
        <f t="shared" si="4"/>
        <v>339958.4</v>
      </c>
      <c r="I50" s="256"/>
    </row>
    <row r="51" spans="1:9" s="168" customFormat="1" ht="11.25" customHeight="1">
      <c r="A51" s="319" t="s">
        <v>579</v>
      </c>
      <c r="B51" s="478">
        <v>248441.7</v>
      </c>
      <c r="C51" s="478">
        <v>26069.5</v>
      </c>
      <c r="D51" s="478">
        <v>65364.1</v>
      </c>
      <c r="E51" s="478">
        <v>10508.4</v>
      </c>
      <c r="F51" s="478">
        <v>494.9</v>
      </c>
      <c r="G51" s="478">
        <f t="shared" si="4"/>
        <v>340370.2</v>
      </c>
      <c r="I51" s="256"/>
    </row>
    <row r="52" spans="1:9" s="168" customFormat="1" ht="11.25" customHeight="1" thickBot="1">
      <c r="A52" s="1750" t="s">
        <v>572</v>
      </c>
      <c r="B52" s="1424">
        <v>254860.2</v>
      </c>
      <c r="C52" s="1424">
        <v>24790.1</v>
      </c>
      <c r="D52" s="1424">
        <v>92122.4</v>
      </c>
      <c r="E52" s="1424">
        <v>10726.4</v>
      </c>
      <c r="F52" s="1424">
        <v>542.9</v>
      </c>
      <c r="G52" s="1424">
        <f t="shared" si="4"/>
        <v>372315.6</v>
      </c>
      <c r="I52" s="256"/>
    </row>
    <row r="53" spans="1:9" s="9" customFormat="1" ht="11.25" customHeight="1">
      <c r="A53" s="680"/>
      <c r="B53" s="274" t="s">
        <v>1387</v>
      </c>
      <c r="C53" s="274"/>
      <c r="D53" s="274"/>
      <c r="E53" s="274"/>
      <c r="F53" s="274"/>
      <c r="G53" s="274"/>
      <c r="H53" s="150"/>
      <c r="I53" s="778"/>
    </row>
    <row r="54" spans="1:9" s="9" customFormat="1">
      <c r="A54" s="454" t="s">
        <v>1428</v>
      </c>
      <c r="B54" s="2005" t="s">
        <v>1298</v>
      </c>
      <c r="C54" s="2005"/>
      <c r="D54" s="2005"/>
      <c r="E54" s="674"/>
      <c r="F54" s="1057" t="s">
        <v>1390</v>
      </c>
      <c r="G54" s="674"/>
      <c r="I54" s="778"/>
    </row>
    <row r="55" spans="1:9">
      <c r="A55" s="9"/>
      <c r="B55" s="55"/>
      <c r="C55" s="1259"/>
      <c r="D55" s="55"/>
      <c r="E55" s="55"/>
      <c r="F55" s="55"/>
      <c r="G55" s="55"/>
    </row>
    <row r="56" spans="1:9">
      <c r="A56" s="9"/>
      <c r="B56" s="9"/>
      <c r="C56" s="1259"/>
      <c r="D56" s="9"/>
      <c r="E56" s="9"/>
      <c r="F56" s="9"/>
      <c r="G56" s="9"/>
    </row>
    <row r="57" spans="1:9">
      <c r="A57" s="9"/>
      <c r="B57" s="66"/>
      <c r="C57" s="9"/>
      <c r="D57" s="150"/>
      <c r="E57" s="9"/>
      <c r="F57" s="9"/>
      <c r="G57" s="150"/>
    </row>
    <row r="58" spans="1:9">
      <c r="B58" s="40"/>
      <c r="D58" s="150"/>
    </row>
    <row r="59" spans="1:9">
      <c r="G59" s="40"/>
    </row>
    <row r="60" spans="1:9">
      <c r="G60" s="40"/>
    </row>
    <row r="70" spans="2:7">
      <c r="B70" s="40"/>
      <c r="C70" s="40"/>
      <c r="D70" s="40"/>
      <c r="E70" s="40"/>
      <c r="F70" s="40"/>
      <c r="G70" s="40"/>
    </row>
    <row r="71" spans="2:7">
      <c r="B71" s="40"/>
      <c r="C71" s="40"/>
      <c r="D71" s="40"/>
      <c r="E71" s="40"/>
      <c r="F71" s="40"/>
      <c r="G71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  <row r="79" spans="2:7">
      <c r="B79" s="40"/>
      <c r="C79" s="40"/>
      <c r="D79" s="40"/>
      <c r="E79" s="40"/>
      <c r="F79" s="40"/>
      <c r="G79" s="40"/>
    </row>
    <row r="80" spans="2:7">
      <c r="B80" s="40"/>
      <c r="C80" s="40"/>
      <c r="D80" s="40"/>
      <c r="E80" s="40"/>
      <c r="F80" s="40"/>
      <c r="G80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4:D54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8"/>
  <sheetViews>
    <sheetView zoomScale="200" zoomScaleNormal="20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D37" sqref="D37"/>
    </sheetView>
  </sheetViews>
  <sheetFormatPr defaultColWidth="9.140625" defaultRowHeight="11.25"/>
  <cols>
    <col min="1" max="1" width="10.140625" style="170" customWidth="1"/>
    <col min="2" max="2" width="7.42578125" style="170" customWidth="1"/>
    <col min="3" max="3" width="7.140625" style="170" customWidth="1"/>
    <col min="4" max="4" width="7" style="170" customWidth="1"/>
    <col min="5" max="5" width="6.42578125" style="170" customWidth="1"/>
    <col min="6" max="6" width="7.42578125" style="170" customWidth="1"/>
    <col min="7" max="7" width="8.28515625" style="170" customWidth="1"/>
    <col min="8" max="8" width="7.28515625" style="170" customWidth="1"/>
    <col min="9" max="10" width="8" style="170" customWidth="1"/>
    <col min="11" max="16384" width="9.140625" style="170"/>
  </cols>
  <sheetData>
    <row r="1" spans="1:12" s="172" customFormat="1" ht="13.5" customHeight="1">
      <c r="A1" s="2026" t="s">
        <v>1324</v>
      </c>
      <c r="B1" s="2026"/>
      <c r="C1" s="2026"/>
      <c r="D1" s="2026"/>
      <c r="E1" s="2026"/>
      <c r="F1" s="2026"/>
      <c r="G1" s="2026"/>
      <c r="H1" s="2026"/>
      <c r="I1" s="2024" t="s">
        <v>207</v>
      </c>
      <c r="J1" s="2024"/>
    </row>
    <row r="2" spans="1:12" s="175" customFormat="1" ht="12">
      <c r="I2" s="2025" t="s">
        <v>24</v>
      </c>
      <c r="J2" s="2025"/>
    </row>
    <row r="3" spans="1:12" s="400" customFormat="1" ht="15" customHeight="1">
      <c r="A3" s="1928" t="s">
        <v>973</v>
      </c>
      <c r="B3" s="2017" t="s">
        <v>208</v>
      </c>
      <c r="C3" s="2028" t="s">
        <v>500</v>
      </c>
      <c r="D3" s="2029"/>
      <c r="E3" s="2029"/>
      <c r="F3" s="2029"/>
      <c r="G3" s="2030"/>
      <c r="H3" s="1871" t="s">
        <v>953</v>
      </c>
      <c r="I3" s="1871" t="s">
        <v>211</v>
      </c>
      <c r="J3" s="1871" t="s">
        <v>212</v>
      </c>
    </row>
    <row r="4" spans="1:12" s="400" customFormat="1" ht="12.75" customHeight="1">
      <c r="A4" s="1928"/>
      <c r="B4" s="2027"/>
      <c r="C4" s="1871" t="s">
        <v>817</v>
      </c>
      <c r="D4" s="1871" t="s">
        <v>502</v>
      </c>
      <c r="E4" s="1871" t="s">
        <v>594</v>
      </c>
      <c r="F4" s="1871" t="s">
        <v>209</v>
      </c>
      <c r="G4" s="1871" t="s">
        <v>210</v>
      </c>
      <c r="H4" s="1922"/>
      <c r="I4" s="1922"/>
      <c r="J4" s="1922"/>
    </row>
    <row r="5" spans="1:12" s="177" customFormat="1" ht="19.5" customHeight="1">
      <c r="A5" s="1928"/>
      <c r="B5" s="2027"/>
      <c r="C5" s="1922"/>
      <c r="D5" s="1922"/>
      <c r="E5" s="2021"/>
      <c r="F5" s="1922"/>
      <c r="G5" s="1922"/>
      <c r="H5" s="1922"/>
      <c r="I5" s="1922"/>
      <c r="J5" s="1922"/>
    </row>
    <row r="6" spans="1:12" s="177" customFormat="1" ht="14.25" customHeight="1">
      <c r="A6" s="1928"/>
      <c r="B6" s="1926"/>
      <c r="C6" s="1872"/>
      <c r="D6" s="1872"/>
      <c r="E6" s="2020"/>
      <c r="F6" s="1872"/>
      <c r="G6" s="1872"/>
      <c r="H6" s="1872"/>
      <c r="I6" s="1872"/>
      <c r="J6" s="1872"/>
    </row>
    <row r="7" spans="1:12" s="235" customFormat="1" ht="10.5" customHeight="1">
      <c r="A7" s="1928"/>
      <c r="B7" s="1487">
        <v>1</v>
      </c>
      <c r="C7" s="533">
        <v>2</v>
      </c>
      <c r="D7" s="533">
        <v>3</v>
      </c>
      <c r="E7" s="533">
        <v>4</v>
      </c>
      <c r="F7" s="533">
        <v>5</v>
      </c>
      <c r="G7" s="533">
        <v>6</v>
      </c>
      <c r="H7" s="533">
        <v>7</v>
      </c>
      <c r="I7" s="533">
        <v>8</v>
      </c>
      <c r="J7" s="533">
        <v>9</v>
      </c>
    </row>
    <row r="8" spans="1:12" s="250" customFormat="1" ht="11.25" customHeight="1">
      <c r="A8" s="250" t="s">
        <v>81</v>
      </c>
      <c r="B8" s="483">
        <v>61181</v>
      </c>
      <c r="C8" s="483">
        <v>21471.200000000001</v>
      </c>
      <c r="D8" s="267">
        <v>830.7</v>
      </c>
      <c r="E8" s="267">
        <v>2588.6999999999998</v>
      </c>
      <c r="F8" s="267">
        <v>6613.9</v>
      </c>
      <c r="G8" s="267">
        <f t="shared" ref="G8:G10" si="0">C8+D8+E8+F8</f>
        <v>31504.5</v>
      </c>
      <c r="H8" s="483">
        <v>-18542.7</v>
      </c>
      <c r="I8" s="239">
        <f t="shared" ref="I8:I10" si="1">G8+H8</f>
        <v>12961.8</v>
      </c>
      <c r="J8" s="239">
        <f t="shared" ref="J8:J10" si="2">B8+I8</f>
        <v>74142.8</v>
      </c>
      <c r="K8" s="607"/>
    </row>
    <row r="9" spans="1:12" s="250" customFormat="1" ht="11.25" customHeight="1">
      <c r="A9" s="609" t="s">
        <v>192</v>
      </c>
      <c r="B9" s="478">
        <v>61342.1</v>
      </c>
      <c r="C9" s="478">
        <v>31710.5</v>
      </c>
      <c r="D9" s="309">
        <v>776.7</v>
      </c>
      <c r="E9" s="309">
        <v>3143.7</v>
      </c>
      <c r="F9" s="309">
        <v>18608.8</v>
      </c>
      <c r="G9" s="309">
        <f t="shared" si="0"/>
        <v>54239.7</v>
      </c>
      <c r="H9" s="478">
        <v>-25847.4</v>
      </c>
      <c r="I9" s="304">
        <f t="shared" si="1"/>
        <v>28392.299999999996</v>
      </c>
      <c r="J9" s="304">
        <f t="shared" si="2"/>
        <v>89734.399999999994</v>
      </c>
      <c r="K9" s="607"/>
    </row>
    <row r="10" spans="1:12" s="250" customFormat="1" ht="11.25" customHeight="1">
      <c r="A10" s="250" t="s">
        <v>757</v>
      </c>
      <c r="B10" s="483">
        <v>68930.100000000006</v>
      </c>
      <c r="C10" s="483">
        <v>37854.9</v>
      </c>
      <c r="D10" s="267">
        <v>1181.9000000000001</v>
      </c>
      <c r="E10" s="267">
        <v>3598.7</v>
      </c>
      <c r="F10" s="267">
        <v>22627.4</v>
      </c>
      <c r="G10" s="267">
        <f t="shared" si="0"/>
        <v>65262.9</v>
      </c>
      <c r="H10" s="483">
        <v>-36390.300000000003</v>
      </c>
      <c r="I10" s="239">
        <f t="shared" si="1"/>
        <v>28872.6</v>
      </c>
      <c r="J10" s="239">
        <f t="shared" si="2"/>
        <v>97802.700000000012</v>
      </c>
      <c r="K10" s="607"/>
    </row>
    <row r="11" spans="1:12" s="250" customFormat="1" ht="11.25" customHeight="1">
      <c r="A11" s="609" t="s">
        <v>866</v>
      </c>
      <c r="B11" s="478">
        <v>103246</v>
      </c>
      <c r="C11" s="478">
        <v>27069</v>
      </c>
      <c r="D11" s="309">
        <v>1354.5</v>
      </c>
      <c r="E11" s="309">
        <v>4180.2</v>
      </c>
      <c r="F11" s="309">
        <v>10219</v>
      </c>
      <c r="G11" s="309">
        <v>42822.7</v>
      </c>
      <c r="H11" s="478">
        <v>-33579.300000000003</v>
      </c>
      <c r="I11" s="304">
        <v>9243.3999999999942</v>
      </c>
      <c r="J11" s="304">
        <v>112489.4</v>
      </c>
      <c r="K11" s="607"/>
    </row>
    <row r="12" spans="1:12" s="608" customFormat="1" ht="11.25" customHeight="1">
      <c r="A12" s="523" t="s">
        <v>1051</v>
      </c>
      <c r="B12" s="239">
        <v>147496.6</v>
      </c>
      <c r="C12" s="483">
        <v>3840.6</v>
      </c>
      <c r="D12" s="483">
        <v>1202.7</v>
      </c>
      <c r="E12" s="483">
        <v>4272.7</v>
      </c>
      <c r="F12" s="483">
        <v>6279.2</v>
      </c>
      <c r="G12" s="483">
        <v>15595.2</v>
      </c>
      <c r="H12" s="483">
        <v>-33216.5</v>
      </c>
      <c r="I12" s="483">
        <v>-17621.3</v>
      </c>
      <c r="J12" s="483">
        <v>129875.3</v>
      </c>
    </row>
    <row r="13" spans="1:12" s="610" customFormat="1" ht="11.25" customHeight="1">
      <c r="A13" s="312" t="s">
        <v>1105</v>
      </c>
      <c r="B13" s="478">
        <v>177401.3</v>
      </c>
      <c r="C13" s="478">
        <v>810.5</v>
      </c>
      <c r="D13" s="478">
        <v>2160.8000000000002</v>
      </c>
      <c r="E13" s="478">
        <v>4645.6000000000004</v>
      </c>
      <c r="F13" s="478">
        <v>5659.2</v>
      </c>
      <c r="G13" s="478">
        <v>13276.1</v>
      </c>
      <c r="H13" s="478">
        <v>-42194.9</v>
      </c>
      <c r="I13" s="478">
        <v>-28918.800000000003</v>
      </c>
      <c r="J13" s="478">
        <v>148482.5</v>
      </c>
      <c r="L13" s="611"/>
    </row>
    <row r="14" spans="1:12" s="464" customFormat="1" ht="11.25" customHeight="1">
      <c r="A14" s="237" t="s">
        <v>1231</v>
      </c>
      <c r="B14" s="483">
        <v>218904.1</v>
      </c>
      <c r="C14" s="483">
        <v>13373.7</v>
      </c>
      <c r="D14" s="483">
        <v>2015.5</v>
      </c>
      <c r="E14" s="483">
        <v>4966.8999999999996</v>
      </c>
      <c r="F14" s="483">
        <v>6024.4</v>
      </c>
      <c r="G14" s="483">
        <v>26380.5</v>
      </c>
      <c r="H14" s="483">
        <v>-52083.3</v>
      </c>
      <c r="I14" s="483">
        <v>-25702.800000000003</v>
      </c>
      <c r="J14" s="483">
        <v>193201.3</v>
      </c>
      <c r="L14" s="463"/>
    </row>
    <row r="15" spans="1:12" s="464" customFormat="1" ht="11.25" customHeight="1">
      <c r="A15" s="302" t="s">
        <v>1263</v>
      </c>
      <c r="B15" s="478">
        <v>252027</v>
      </c>
      <c r="C15" s="478">
        <v>12977.7</v>
      </c>
      <c r="D15" s="478">
        <v>2157.8000000000002</v>
      </c>
      <c r="E15" s="478">
        <v>4976.6000000000004</v>
      </c>
      <c r="F15" s="478">
        <v>5054.3999999999996</v>
      </c>
      <c r="G15" s="478">
        <v>25166.5</v>
      </c>
      <c r="H15" s="478">
        <v>-52534.1</v>
      </c>
      <c r="I15" s="478">
        <v>-27367.599999999999</v>
      </c>
      <c r="J15" s="478">
        <v>224659.4</v>
      </c>
      <c r="L15" s="463"/>
    </row>
    <row r="16" spans="1:12" s="464" customFormat="1" ht="11.25" customHeight="1">
      <c r="A16" s="237" t="s">
        <v>1392</v>
      </c>
      <c r="B16" s="483">
        <v>253509.8</v>
      </c>
      <c r="C16" s="483">
        <v>22572.2</v>
      </c>
      <c r="D16" s="483">
        <v>2367.8000000000002</v>
      </c>
      <c r="E16" s="483">
        <v>5146.2</v>
      </c>
      <c r="F16" s="483">
        <v>5582.5</v>
      </c>
      <c r="G16" s="483">
        <v>35668.699999999997</v>
      </c>
      <c r="H16" s="483">
        <v>-55435.5</v>
      </c>
      <c r="I16" s="483">
        <v>-19766.800000000003</v>
      </c>
      <c r="J16" s="483">
        <v>233743</v>
      </c>
      <c r="L16" s="463"/>
    </row>
    <row r="17" spans="1:13" s="230" customFormat="1" ht="11.25" customHeight="1">
      <c r="A17" s="341" t="s">
        <v>1511</v>
      </c>
      <c r="B17" s="478">
        <v>257195.4</v>
      </c>
      <c r="C17" s="478">
        <v>31189</v>
      </c>
      <c r="D17" s="478">
        <v>2380.4</v>
      </c>
      <c r="E17" s="478">
        <v>4789.5</v>
      </c>
      <c r="F17" s="478">
        <v>5386.9</v>
      </c>
      <c r="G17" s="478">
        <v>43745.8</v>
      </c>
      <c r="H17" s="478">
        <v>-54753.5</v>
      </c>
      <c r="I17" s="478">
        <v>-11007.699999999997</v>
      </c>
      <c r="J17" s="478">
        <v>246187.7</v>
      </c>
      <c r="K17" s="644"/>
    </row>
    <row r="18" spans="1:13" ht="11.25" customHeight="1">
      <c r="A18" s="168" t="s">
        <v>1602</v>
      </c>
      <c r="B18" s="483">
        <v>286040.90000000002</v>
      </c>
      <c r="C18" s="483">
        <v>42117.1</v>
      </c>
      <c r="D18" s="483">
        <v>2551.9</v>
      </c>
      <c r="E18" s="483">
        <v>5342.5</v>
      </c>
      <c r="F18" s="483">
        <v>13764.9</v>
      </c>
      <c r="G18" s="483">
        <v>63776.4</v>
      </c>
      <c r="H18" s="483">
        <v>-65333.9</v>
      </c>
      <c r="I18" s="483">
        <v>-1557.5</v>
      </c>
      <c r="J18" s="483">
        <v>284483.40000000002</v>
      </c>
    </row>
    <row r="19" spans="1:13" ht="11.25" customHeight="1">
      <c r="A19" s="321" t="s">
        <v>1668</v>
      </c>
      <c r="B19" s="573">
        <v>366917.3</v>
      </c>
      <c r="C19" s="573">
        <v>17285.5</v>
      </c>
      <c r="D19" s="573">
        <v>3218.1</v>
      </c>
      <c r="E19" s="573">
        <v>5838.7</v>
      </c>
      <c r="F19" s="573">
        <v>18952.3</v>
      </c>
      <c r="G19" s="573">
        <v>45294.6</v>
      </c>
      <c r="H19" s="573">
        <v>-64140.1</v>
      </c>
      <c r="I19" s="573">
        <v>-18845.5</v>
      </c>
      <c r="J19" s="573">
        <v>348071.8</v>
      </c>
      <c r="L19" s="181"/>
      <c r="M19" s="181"/>
    </row>
    <row r="20" spans="1:13" ht="11.25" customHeight="1">
      <c r="A20" s="196" t="s">
        <v>2018</v>
      </c>
      <c r="B20" s="570">
        <f>B32</f>
        <v>347757.7</v>
      </c>
      <c r="C20" s="570">
        <f t="shared" ref="C20:J20" si="3">C32</f>
        <v>54930</v>
      </c>
      <c r="D20" s="570">
        <f t="shared" si="3"/>
        <v>3435.6</v>
      </c>
      <c r="E20" s="570">
        <f t="shared" si="3"/>
        <v>5935.9</v>
      </c>
      <c r="F20" s="570">
        <f t="shared" si="3"/>
        <v>16073.9</v>
      </c>
      <c r="G20" s="570">
        <f t="shared" si="3"/>
        <v>80375.399999999994</v>
      </c>
      <c r="H20" s="570">
        <f t="shared" si="3"/>
        <v>-80971.099999999977</v>
      </c>
      <c r="I20" s="570">
        <f t="shared" si="3"/>
        <v>-595.69999999998254</v>
      </c>
      <c r="J20" s="570">
        <f t="shared" si="3"/>
        <v>347162</v>
      </c>
      <c r="K20" s="483"/>
      <c r="L20" s="181"/>
      <c r="M20" s="181"/>
    </row>
    <row r="21" spans="1:13" ht="11.25" customHeight="1">
      <c r="A21" s="319" t="s">
        <v>576</v>
      </c>
      <c r="B21" s="478">
        <v>369407.2</v>
      </c>
      <c r="C21" s="478">
        <v>12440.4</v>
      </c>
      <c r="D21" s="478">
        <v>3170.3</v>
      </c>
      <c r="E21" s="478">
        <v>5821.4</v>
      </c>
      <c r="F21" s="478">
        <v>19067.400000000001</v>
      </c>
      <c r="G21" s="478">
        <f t="shared" ref="G21:G52" si="4">C21+D21+E21+F21</f>
        <v>40499.5</v>
      </c>
      <c r="H21" s="478">
        <v>-60355.5</v>
      </c>
      <c r="I21" s="478">
        <f t="shared" ref="I21:I45" si="5">G21+H21</f>
        <v>-19856</v>
      </c>
      <c r="J21" s="478">
        <f t="shared" ref="J21:J45" si="6">B21+I21</f>
        <v>349551.2</v>
      </c>
      <c r="K21" s="483"/>
      <c r="L21" s="181"/>
      <c r="M21" s="181"/>
    </row>
    <row r="22" spans="1:13" ht="11.25" customHeight="1">
      <c r="A22" s="168" t="s">
        <v>577</v>
      </c>
      <c r="B22" s="483">
        <v>370193.5</v>
      </c>
      <c r="C22" s="483">
        <v>6278.9</v>
      </c>
      <c r="D22" s="483">
        <v>3347.7</v>
      </c>
      <c r="E22" s="483">
        <v>5879.3</v>
      </c>
      <c r="F22" s="483">
        <v>18704.3</v>
      </c>
      <c r="G22" s="483">
        <f t="shared" si="4"/>
        <v>34210.199999999997</v>
      </c>
      <c r="H22" s="483">
        <v>-78542.7</v>
      </c>
      <c r="I22" s="483">
        <f t="shared" si="5"/>
        <v>-44332.5</v>
      </c>
      <c r="J22" s="483">
        <f t="shared" si="6"/>
        <v>325861</v>
      </c>
      <c r="K22" s="483"/>
      <c r="L22" s="181"/>
      <c r="M22" s="181"/>
    </row>
    <row r="23" spans="1:13" ht="11.25" customHeight="1">
      <c r="A23" s="319" t="s">
        <v>571</v>
      </c>
      <c r="B23" s="478">
        <v>361730.3</v>
      </c>
      <c r="C23" s="478">
        <v>7273.4</v>
      </c>
      <c r="D23" s="478">
        <v>3303.2</v>
      </c>
      <c r="E23" s="478">
        <v>5829.4</v>
      </c>
      <c r="F23" s="478">
        <v>18375.5</v>
      </c>
      <c r="G23" s="478">
        <f t="shared" si="4"/>
        <v>34781.5</v>
      </c>
      <c r="H23" s="478">
        <v>-73177.5</v>
      </c>
      <c r="I23" s="478">
        <f t="shared" si="5"/>
        <v>-38396</v>
      </c>
      <c r="J23" s="478">
        <f t="shared" si="6"/>
        <v>323334.3</v>
      </c>
      <c r="K23" s="483"/>
      <c r="L23" s="181"/>
      <c r="M23" s="181"/>
    </row>
    <row r="24" spans="1:13" ht="11.25" customHeight="1">
      <c r="A24" s="168" t="s">
        <v>578</v>
      </c>
      <c r="B24" s="483">
        <v>358585.9</v>
      </c>
      <c r="C24" s="483">
        <v>8393.7000000000007</v>
      </c>
      <c r="D24" s="483">
        <v>3298.4</v>
      </c>
      <c r="E24" s="483">
        <v>5762.2</v>
      </c>
      <c r="F24" s="483">
        <v>17495.8</v>
      </c>
      <c r="G24" s="483">
        <f t="shared" si="4"/>
        <v>34950.1</v>
      </c>
      <c r="H24" s="483">
        <v>-73577.8</v>
      </c>
      <c r="I24" s="483">
        <f t="shared" si="5"/>
        <v>-38627.700000000004</v>
      </c>
      <c r="J24" s="483">
        <f t="shared" si="6"/>
        <v>319958.2</v>
      </c>
      <c r="K24" s="483"/>
      <c r="L24" s="181"/>
      <c r="M24" s="181"/>
    </row>
    <row r="25" spans="1:13" ht="11.25" customHeight="1">
      <c r="A25" s="319" t="s">
        <v>579</v>
      </c>
      <c r="B25" s="478">
        <v>352218.6</v>
      </c>
      <c r="C25" s="478">
        <v>17488.099999999999</v>
      </c>
      <c r="D25" s="478">
        <v>3267.9</v>
      </c>
      <c r="E25" s="478">
        <v>5720.2</v>
      </c>
      <c r="F25" s="478">
        <v>17379.3</v>
      </c>
      <c r="G25" s="478">
        <f t="shared" si="4"/>
        <v>43855.5</v>
      </c>
      <c r="H25" s="478">
        <v>-63585.3</v>
      </c>
      <c r="I25" s="478">
        <f t="shared" si="5"/>
        <v>-19729.800000000003</v>
      </c>
      <c r="J25" s="478">
        <f t="shared" si="6"/>
        <v>332488.8</v>
      </c>
      <c r="K25" s="483"/>
      <c r="L25" s="181"/>
      <c r="M25" s="181"/>
    </row>
    <row r="26" spans="1:13" ht="11.25" customHeight="1">
      <c r="A26" s="168" t="s">
        <v>572</v>
      </c>
      <c r="B26" s="483">
        <v>354607.3</v>
      </c>
      <c r="C26" s="483">
        <v>5463.5</v>
      </c>
      <c r="D26" s="483">
        <v>3146.3</v>
      </c>
      <c r="E26" s="483">
        <v>5697.2</v>
      </c>
      <c r="F26" s="483">
        <v>16597.599999999999</v>
      </c>
      <c r="G26" s="483">
        <f t="shared" si="4"/>
        <v>30904.6</v>
      </c>
      <c r="H26" s="483">
        <v>-61845.599999999999</v>
      </c>
      <c r="I26" s="483">
        <f t="shared" si="5"/>
        <v>-30941</v>
      </c>
      <c r="J26" s="483">
        <f t="shared" si="6"/>
        <v>323666.3</v>
      </c>
      <c r="K26" s="483"/>
      <c r="L26" s="181"/>
      <c r="M26" s="181"/>
    </row>
    <row r="27" spans="1:13" ht="11.25" customHeight="1">
      <c r="A27" s="319" t="s">
        <v>580</v>
      </c>
      <c r="B27" s="478">
        <v>351964.2</v>
      </c>
      <c r="C27" s="478">
        <v>9036.5</v>
      </c>
      <c r="D27" s="478">
        <v>3478.9</v>
      </c>
      <c r="E27" s="478">
        <v>5733.5</v>
      </c>
      <c r="F27" s="478">
        <v>15985.2</v>
      </c>
      <c r="G27" s="478">
        <f t="shared" si="4"/>
        <v>34234.100000000006</v>
      </c>
      <c r="H27" s="478">
        <v>-62899.4</v>
      </c>
      <c r="I27" s="478">
        <f t="shared" si="5"/>
        <v>-28665.299999999996</v>
      </c>
      <c r="J27" s="478">
        <f t="shared" si="6"/>
        <v>323298.90000000002</v>
      </c>
      <c r="K27" s="483"/>
      <c r="L27" s="181"/>
      <c r="M27" s="181"/>
    </row>
    <row r="28" spans="1:13" ht="11.25" customHeight="1">
      <c r="A28" s="168" t="s">
        <v>581</v>
      </c>
      <c r="B28" s="483">
        <v>351813.1</v>
      </c>
      <c r="C28" s="483">
        <v>8058.5</v>
      </c>
      <c r="D28" s="483">
        <v>3485.2</v>
      </c>
      <c r="E28" s="483">
        <v>5766.6</v>
      </c>
      <c r="F28" s="483">
        <v>15583.3</v>
      </c>
      <c r="G28" s="483">
        <f t="shared" si="4"/>
        <v>32893.600000000006</v>
      </c>
      <c r="H28" s="483">
        <v>-62421.599999999999</v>
      </c>
      <c r="I28" s="483">
        <f t="shared" si="5"/>
        <v>-29527.999999999993</v>
      </c>
      <c r="J28" s="483">
        <f t="shared" si="6"/>
        <v>322285.09999999998</v>
      </c>
      <c r="K28" s="483"/>
      <c r="L28" s="181"/>
      <c r="M28" s="181"/>
    </row>
    <row r="29" spans="1:13" ht="11.25" customHeight="1">
      <c r="A29" s="319" t="s">
        <v>573</v>
      </c>
      <c r="B29" s="478">
        <v>344756</v>
      </c>
      <c r="C29" s="478">
        <v>12804.3</v>
      </c>
      <c r="D29" s="478">
        <v>3488.5</v>
      </c>
      <c r="E29" s="478">
        <v>5784.3</v>
      </c>
      <c r="F29" s="478">
        <v>16138.8</v>
      </c>
      <c r="G29" s="478">
        <f t="shared" si="4"/>
        <v>38215.899999999994</v>
      </c>
      <c r="H29" s="478">
        <v>-61815.7</v>
      </c>
      <c r="I29" s="478">
        <f t="shared" si="5"/>
        <v>-23599.800000000003</v>
      </c>
      <c r="J29" s="478">
        <f t="shared" si="6"/>
        <v>321156.2</v>
      </c>
      <c r="K29" s="483"/>
      <c r="L29" s="181"/>
      <c r="M29" s="181"/>
    </row>
    <row r="30" spans="1:13" ht="11.25" customHeight="1">
      <c r="A30" s="168" t="s">
        <v>582</v>
      </c>
      <c r="B30" s="483">
        <v>337440.8</v>
      </c>
      <c r="C30" s="483">
        <v>32555.3</v>
      </c>
      <c r="D30" s="483">
        <v>3494.9</v>
      </c>
      <c r="E30" s="483">
        <v>5897.9</v>
      </c>
      <c r="F30" s="483">
        <v>20880.900000000001</v>
      </c>
      <c r="G30" s="483">
        <f t="shared" si="4"/>
        <v>62829</v>
      </c>
      <c r="H30" s="483">
        <v>-60480.5</v>
      </c>
      <c r="I30" s="483">
        <f t="shared" si="5"/>
        <v>2348.5</v>
      </c>
      <c r="J30" s="483">
        <f t="shared" si="6"/>
        <v>339789.3</v>
      </c>
      <c r="K30" s="483"/>
      <c r="L30" s="181"/>
      <c r="M30" s="181"/>
    </row>
    <row r="31" spans="1:13" ht="11.25" customHeight="1">
      <c r="A31" s="319" t="s">
        <v>583</v>
      </c>
      <c r="B31" s="478">
        <v>343397.9</v>
      </c>
      <c r="C31" s="478">
        <v>28363.5</v>
      </c>
      <c r="D31" s="478">
        <v>3429.6</v>
      </c>
      <c r="E31" s="478">
        <v>5840</v>
      </c>
      <c r="F31" s="478">
        <v>22566.400000000001</v>
      </c>
      <c r="G31" s="478">
        <f t="shared" si="4"/>
        <v>60199.5</v>
      </c>
      <c r="H31" s="478">
        <v>-72768</v>
      </c>
      <c r="I31" s="478">
        <f t="shared" si="5"/>
        <v>-12568.5</v>
      </c>
      <c r="J31" s="478">
        <f t="shared" si="6"/>
        <v>330829.40000000002</v>
      </c>
      <c r="K31" s="483"/>
      <c r="L31" s="181"/>
      <c r="M31" s="181"/>
    </row>
    <row r="32" spans="1:13" ht="11.25" customHeight="1">
      <c r="A32" s="168" t="s">
        <v>574</v>
      </c>
      <c r="B32" s="483">
        <v>347757.7</v>
      </c>
      <c r="C32" s="483">
        <v>54930</v>
      </c>
      <c r="D32" s="483">
        <v>3435.6</v>
      </c>
      <c r="E32" s="483">
        <v>5935.9</v>
      </c>
      <c r="F32" s="483">
        <v>16073.9</v>
      </c>
      <c r="G32" s="483">
        <f t="shared" si="4"/>
        <v>80375.399999999994</v>
      </c>
      <c r="H32" s="483">
        <v>-80971.099999999977</v>
      </c>
      <c r="I32" s="483">
        <f t="shared" si="5"/>
        <v>-595.69999999998254</v>
      </c>
      <c r="J32" s="483">
        <f>B32+I32</f>
        <v>347162</v>
      </c>
      <c r="K32" s="483"/>
      <c r="L32" s="181"/>
      <c r="M32" s="181"/>
    </row>
    <row r="33" spans="1:13" ht="11.25" customHeight="1">
      <c r="A33" s="375" t="s">
        <v>2300</v>
      </c>
      <c r="B33" s="573">
        <f>B45</f>
        <v>287497.5</v>
      </c>
      <c r="C33" s="573">
        <f t="shared" ref="C33:J33" si="7">C45</f>
        <v>157411.9</v>
      </c>
      <c r="D33" s="573">
        <f t="shared" si="7"/>
        <v>3893.4</v>
      </c>
      <c r="E33" s="573">
        <f t="shared" si="7"/>
        <v>7351.5</v>
      </c>
      <c r="F33" s="573">
        <f>F45</f>
        <v>61847.199999999997</v>
      </c>
      <c r="G33" s="573">
        <f>G45</f>
        <v>230504</v>
      </c>
      <c r="H33" s="573">
        <f t="shared" si="7"/>
        <v>-134416.29999999999</v>
      </c>
      <c r="I33" s="573">
        <f t="shared" si="7"/>
        <v>96087.700000000012</v>
      </c>
      <c r="J33" s="573">
        <f t="shared" si="7"/>
        <v>383585.2</v>
      </c>
      <c r="K33" s="483"/>
      <c r="L33" s="181"/>
      <c r="M33" s="181"/>
    </row>
    <row r="34" spans="1:13" ht="11.25" customHeight="1">
      <c r="A34" s="168" t="s">
        <v>576</v>
      </c>
      <c r="B34" s="483">
        <v>341807.3</v>
      </c>
      <c r="C34" s="483">
        <v>52719.199999999997</v>
      </c>
      <c r="D34" s="483">
        <v>3428.2</v>
      </c>
      <c r="E34" s="483">
        <v>5937.6</v>
      </c>
      <c r="F34" s="483">
        <v>26301.599999999999</v>
      </c>
      <c r="G34" s="483">
        <f t="shared" si="4"/>
        <v>88386.599999999991</v>
      </c>
      <c r="H34" s="483">
        <v>-85262.9</v>
      </c>
      <c r="I34" s="483">
        <f t="shared" si="5"/>
        <v>3123.6999999999971</v>
      </c>
      <c r="J34" s="483">
        <f t="shared" si="6"/>
        <v>344931</v>
      </c>
      <c r="K34" s="483"/>
      <c r="L34" s="181"/>
      <c r="M34" s="181"/>
    </row>
    <row r="35" spans="1:13" ht="11.25" customHeight="1">
      <c r="A35" s="319" t="s">
        <v>577</v>
      </c>
      <c r="B35" s="478">
        <v>323765.90000000002</v>
      </c>
      <c r="C35" s="478">
        <v>61832.1</v>
      </c>
      <c r="D35" s="478">
        <v>3426.3</v>
      </c>
      <c r="E35" s="478">
        <v>5989</v>
      </c>
      <c r="F35" s="478">
        <v>29865.7</v>
      </c>
      <c r="G35" s="478">
        <f t="shared" si="4"/>
        <v>101113.09999999999</v>
      </c>
      <c r="H35" s="478">
        <v>-83542.5</v>
      </c>
      <c r="I35" s="478">
        <f t="shared" si="5"/>
        <v>17570.599999999991</v>
      </c>
      <c r="J35" s="478">
        <f t="shared" si="6"/>
        <v>341336.5</v>
      </c>
      <c r="K35" s="483"/>
      <c r="L35" s="181"/>
      <c r="M35" s="181"/>
    </row>
    <row r="36" spans="1:13" ht="11.25" customHeight="1">
      <c r="A36" s="168" t="s">
        <v>571</v>
      </c>
      <c r="B36" s="483">
        <v>318925.90000000002</v>
      </c>
      <c r="C36" s="483">
        <v>71663.399999999994</v>
      </c>
      <c r="D36" s="483">
        <v>3632.8</v>
      </c>
      <c r="E36" s="483">
        <v>6018.9</v>
      </c>
      <c r="F36" s="483">
        <v>27347.8</v>
      </c>
      <c r="G36" s="483">
        <f t="shared" si="4"/>
        <v>108662.9</v>
      </c>
      <c r="H36" s="483">
        <v>-87508.4</v>
      </c>
      <c r="I36" s="483">
        <f t="shared" si="5"/>
        <v>21154.5</v>
      </c>
      <c r="J36" s="483">
        <f t="shared" si="6"/>
        <v>340080.4</v>
      </c>
      <c r="K36" s="483"/>
      <c r="L36" s="181"/>
      <c r="M36" s="181"/>
    </row>
    <row r="37" spans="1:13" ht="11.25" customHeight="1">
      <c r="A37" s="319" t="s">
        <v>578</v>
      </c>
      <c r="B37" s="478">
        <v>309398.3</v>
      </c>
      <c r="C37" s="478">
        <v>83478.7</v>
      </c>
      <c r="D37" s="478">
        <v>3631.7</v>
      </c>
      <c r="E37" s="478">
        <v>6147.8</v>
      </c>
      <c r="F37" s="478">
        <v>23915.7</v>
      </c>
      <c r="G37" s="478">
        <f t="shared" si="4"/>
        <v>117173.9</v>
      </c>
      <c r="H37" s="478">
        <v>-91095.6</v>
      </c>
      <c r="I37" s="478">
        <f t="shared" si="5"/>
        <v>26078.299999999988</v>
      </c>
      <c r="J37" s="478">
        <f t="shared" si="6"/>
        <v>335476.59999999998</v>
      </c>
      <c r="K37" s="483"/>
      <c r="L37" s="181"/>
      <c r="M37" s="181"/>
    </row>
    <row r="38" spans="1:13" ht="11.25" customHeight="1">
      <c r="A38" s="168" t="s">
        <v>579</v>
      </c>
      <c r="B38" s="483">
        <v>300465.40000000002</v>
      </c>
      <c r="C38" s="483">
        <v>91786.4</v>
      </c>
      <c r="D38" s="483">
        <v>3638.6</v>
      </c>
      <c r="E38" s="483">
        <v>6277.2</v>
      </c>
      <c r="F38" s="483">
        <v>36653.1</v>
      </c>
      <c r="G38" s="483">
        <f t="shared" si="4"/>
        <v>138355.29999999999</v>
      </c>
      <c r="H38" s="483">
        <v>-92454.9</v>
      </c>
      <c r="I38" s="483">
        <f t="shared" si="5"/>
        <v>45900.399999999994</v>
      </c>
      <c r="J38" s="483">
        <f t="shared" si="6"/>
        <v>346365.80000000005</v>
      </c>
      <c r="K38" s="483"/>
      <c r="L38" s="181"/>
      <c r="M38" s="181"/>
    </row>
    <row r="39" spans="1:13" ht="11.25" customHeight="1">
      <c r="A39" s="319" t="s">
        <v>572</v>
      </c>
      <c r="B39" s="478">
        <v>297498.09999999998</v>
      </c>
      <c r="C39" s="478">
        <v>105344.2</v>
      </c>
      <c r="D39" s="478">
        <v>3645.5</v>
      </c>
      <c r="E39" s="478">
        <v>6257.8</v>
      </c>
      <c r="F39" s="478">
        <v>66610.3</v>
      </c>
      <c r="G39" s="478">
        <f t="shared" si="4"/>
        <v>181857.8</v>
      </c>
      <c r="H39" s="478">
        <v>-99344.2</v>
      </c>
      <c r="I39" s="478">
        <f t="shared" si="5"/>
        <v>82513.599999999991</v>
      </c>
      <c r="J39" s="478">
        <f t="shared" si="6"/>
        <v>380011.69999999995</v>
      </c>
      <c r="K39" s="483"/>
      <c r="L39" s="181"/>
      <c r="M39" s="181"/>
    </row>
    <row r="40" spans="1:13" ht="11.25" customHeight="1">
      <c r="A40" s="168" t="s">
        <v>580</v>
      </c>
      <c r="B40" s="483">
        <v>290992.7</v>
      </c>
      <c r="C40" s="483">
        <v>107439.6</v>
      </c>
      <c r="D40" s="483">
        <v>3614.9</v>
      </c>
      <c r="E40" s="483">
        <v>6555.8</v>
      </c>
      <c r="F40" s="483">
        <v>49597.3</v>
      </c>
      <c r="G40" s="483">
        <f t="shared" si="4"/>
        <v>167207.6</v>
      </c>
      <c r="H40" s="483">
        <v>-105410</v>
      </c>
      <c r="I40" s="483">
        <f t="shared" si="5"/>
        <v>61797.600000000006</v>
      </c>
      <c r="J40" s="483">
        <f t="shared" si="6"/>
        <v>352790.30000000005</v>
      </c>
      <c r="K40" s="483"/>
      <c r="L40" s="181"/>
      <c r="M40" s="181"/>
    </row>
    <row r="41" spans="1:13" ht="11.25" customHeight="1">
      <c r="A41" s="319" t="s">
        <v>581</v>
      </c>
      <c r="B41" s="478">
        <v>286636.7</v>
      </c>
      <c r="C41" s="478">
        <v>108685.3</v>
      </c>
      <c r="D41" s="478">
        <v>3620.2</v>
      </c>
      <c r="E41" s="478">
        <v>6931.4</v>
      </c>
      <c r="F41" s="478">
        <v>56269</v>
      </c>
      <c r="G41" s="478">
        <f t="shared" si="4"/>
        <v>175505.9</v>
      </c>
      <c r="H41" s="478">
        <v>-111795.7</v>
      </c>
      <c r="I41" s="478">
        <f t="shared" si="5"/>
        <v>63710.2</v>
      </c>
      <c r="J41" s="478">
        <f t="shared" si="6"/>
        <v>350346.9</v>
      </c>
      <c r="K41" s="483"/>
      <c r="L41" s="181"/>
      <c r="M41" s="181"/>
    </row>
    <row r="42" spans="1:13" ht="11.25" customHeight="1">
      <c r="A42" s="168" t="s">
        <v>573</v>
      </c>
      <c r="B42" s="483">
        <v>282017.7</v>
      </c>
      <c r="C42" s="483">
        <v>111798.3</v>
      </c>
      <c r="D42" s="483">
        <v>3625.7</v>
      </c>
      <c r="E42" s="483">
        <v>7193.1</v>
      </c>
      <c r="F42" s="483">
        <v>58122</v>
      </c>
      <c r="G42" s="483">
        <f t="shared" si="4"/>
        <v>180739.1</v>
      </c>
      <c r="H42" s="483">
        <v>-117155</v>
      </c>
      <c r="I42" s="483">
        <f t="shared" si="5"/>
        <v>63584.100000000006</v>
      </c>
      <c r="J42" s="483">
        <f t="shared" si="6"/>
        <v>345601.80000000005</v>
      </c>
      <c r="K42" s="483"/>
      <c r="L42" s="181"/>
      <c r="M42" s="181"/>
    </row>
    <row r="43" spans="1:13" ht="11.25" customHeight="1">
      <c r="A43" s="319" t="s">
        <v>582</v>
      </c>
      <c r="B43" s="478">
        <v>275843.59999999998</v>
      </c>
      <c r="C43" s="478">
        <v>136213.9</v>
      </c>
      <c r="D43" s="478">
        <v>3882.7</v>
      </c>
      <c r="E43" s="478">
        <v>7365.5</v>
      </c>
      <c r="F43" s="478">
        <v>55240.7</v>
      </c>
      <c r="G43" s="478">
        <f t="shared" si="4"/>
        <v>202702.8</v>
      </c>
      <c r="H43" s="478">
        <v>-120934.1</v>
      </c>
      <c r="I43" s="478">
        <f t="shared" si="5"/>
        <v>81768.699999999983</v>
      </c>
      <c r="J43" s="478">
        <f t="shared" si="6"/>
        <v>357612.29999999993</v>
      </c>
      <c r="K43" s="483"/>
      <c r="L43" s="181"/>
      <c r="M43" s="181"/>
    </row>
    <row r="44" spans="1:13" ht="11.25" customHeight="1">
      <c r="A44" s="168" t="s">
        <v>583</v>
      </c>
      <c r="B44" s="483">
        <v>275075.40000000002</v>
      </c>
      <c r="C44" s="483">
        <v>132882.4</v>
      </c>
      <c r="D44" s="483">
        <v>3886.5</v>
      </c>
      <c r="E44" s="483">
        <v>7530.5</v>
      </c>
      <c r="F44" s="483">
        <v>55609.4</v>
      </c>
      <c r="G44" s="483">
        <f t="shared" si="4"/>
        <v>199908.8</v>
      </c>
      <c r="H44" s="483">
        <v>-126715.5</v>
      </c>
      <c r="I44" s="483">
        <f t="shared" si="5"/>
        <v>73193.299999999988</v>
      </c>
      <c r="J44" s="483">
        <f t="shared" si="6"/>
        <v>348268.7</v>
      </c>
      <c r="K44" s="483"/>
      <c r="L44" s="181"/>
      <c r="M44" s="181"/>
    </row>
    <row r="45" spans="1:13" ht="11.25" customHeight="1">
      <c r="A45" s="319" t="s">
        <v>574</v>
      </c>
      <c r="B45" s="478">
        <v>287497.5</v>
      </c>
      <c r="C45" s="478">
        <v>157411.9</v>
      </c>
      <c r="D45" s="478">
        <v>3893.4</v>
      </c>
      <c r="E45" s="478">
        <v>7351.5</v>
      </c>
      <c r="F45" s="478">
        <v>61847.199999999997</v>
      </c>
      <c r="G45" s="478">
        <f t="shared" si="4"/>
        <v>230504</v>
      </c>
      <c r="H45" s="478">
        <v>-134416.29999999999</v>
      </c>
      <c r="I45" s="478">
        <f t="shared" si="5"/>
        <v>96087.700000000012</v>
      </c>
      <c r="J45" s="478">
        <f t="shared" si="6"/>
        <v>383585.2</v>
      </c>
      <c r="K45" s="483"/>
      <c r="L45" s="181"/>
      <c r="M45" s="181"/>
    </row>
    <row r="46" spans="1:13" ht="11.25" customHeight="1">
      <c r="A46" s="1663" t="s">
        <v>2514</v>
      </c>
      <c r="B46" s="483"/>
      <c r="C46" s="483"/>
      <c r="D46" s="483"/>
      <c r="E46" s="483"/>
      <c r="F46" s="483"/>
      <c r="G46" s="483"/>
      <c r="H46" s="483"/>
      <c r="I46" s="483"/>
      <c r="J46" s="483"/>
      <c r="K46" s="483"/>
      <c r="L46" s="181"/>
      <c r="M46" s="181"/>
    </row>
    <row r="47" spans="1:13" ht="11.25" customHeight="1">
      <c r="A47" s="319" t="s">
        <v>576</v>
      </c>
      <c r="B47" s="478">
        <v>284091</v>
      </c>
      <c r="C47" s="478">
        <v>147689</v>
      </c>
      <c r="D47" s="478">
        <v>3786.5</v>
      </c>
      <c r="E47" s="478">
        <v>7308.8</v>
      </c>
      <c r="F47" s="478">
        <v>63802.2</v>
      </c>
      <c r="G47" s="478">
        <f t="shared" si="4"/>
        <v>222586.5</v>
      </c>
      <c r="H47" s="478">
        <v>-141017.9</v>
      </c>
      <c r="I47" s="478">
        <f t="shared" ref="I47:I52" si="8">G47+H47</f>
        <v>81568.600000000006</v>
      </c>
      <c r="J47" s="478">
        <f t="shared" ref="J47:J52" si="9">B47+I47</f>
        <v>365659.6</v>
      </c>
      <c r="K47" s="483"/>
      <c r="L47" s="181"/>
      <c r="M47" s="181"/>
    </row>
    <row r="48" spans="1:13" ht="11.25" customHeight="1">
      <c r="A48" s="168" t="s">
        <v>577</v>
      </c>
      <c r="B48" s="483">
        <v>272944.3</v>
      </c>
      <c r="C48" s="483">
        <v>135934.20000000001</v>
      </c>
      <c r="D48" s="483">
        <v>3680.1</v>
      </c>
      <c r="E48" s="483">
        <v>7542</v>
      </c>
      <c r="F48" s="483">
        <v>62898.1</v>
      </c>
      <c r="G48" s="483">
        <f t="shared" si="4"/>
        <v>210054.40000000002</v>
      </c>
      <c r="H48" s="483">
        <v>-131790.1</v>
      </c>
      <c r="I48" s="483">
        <f t="shared" si="8"/>
        <v>78264.300000000017</v>
      </c>
      <c r="J48" s="483">
        <f t="shared" si="9"/>
        <v>351208.6</v>
      </c>
      <c r="K48" s="483"/>
      <c r="L48" s="181"/>
      <c r="M48" s="181"/>
    </row>
    <row r="49" spans="1:13" ht="11.25" customHeight="1">
      <c r="A49" s="319" t="s">
        <v>571</v>
      </c>
      <c r="B49" s="478">
        <v>258977.5</v>
      </c>
      <c r="C49" s="478">
        <v>129039.7</v>
      </c>
      <c r="D49" s="478">
        <v>3928.4</v>
      </c>
      <c r="E49" s="478">
        <v>7748.6</v>
      </c>
      <c r="F49" s="478">
        <v>75410.399999999994</v>
      </c>
      <c r="G49" s="478">
        <f t="shared" si="4"/>
        <v>216127.1</v>
      </c>
      <c r="H49" s="478">
        <v>-130870.7</v>
      </c>
      <c r="I49" s="478">
        <f t="shared" si="8"/>
        <v>85256.400000000009</v>
      </c>
      <c r="J49" s="478">
        <f t="shared" si="9"/>
        <v>344233.9</v>
      </c>
      <c r="K49" s="483"/>
      <c r="L49" s="181"/>
      <c r="M49" s="181"/>
    </row>
    <row r="50" spans="1:13" ht="11.25" customHeight="1">
      <c r="A50" s="168" t="s">
        <v>578</v>
      </c>
      <c r="B50" s="483">
        <v>248074.3</v>
      </c>
      <c r="C50" s="483">
        <v>127546.1</v>
      </c>
      <c r="D50" s="483">
        <v>3934.3</v>
      </c>
      <c r="E50" s="483">
        <v>9203.2000000000007</v>
      </c>
      <c r="F50" s="483">
        <v>85224.5</v>
      </c>
      <c r="G50" s="483">
        <f t="shared" si="4"/>
        <v>225908.1</v>
      </c>
      <c r="H50" s="483">
        <v>-134024</v>
      </c>
      <c r="I50" s="483">
        <f t="shared" si="8"/>
        <v>91884.1</v>
      </c>
      <c r="J50" s="483">
        <f t="shared" si="9"/>
        <v>339958.4</v>
      </c>
      <c r="K50" s="483"/>
      <c r="L50" s="181"/>
      <c r="M50" s="181"/>
    </row>
    <row r="51" spans="1:13" ht="11.25" customHeight="1">
      <c r="A51" s="319" t="s">
        <v>579</v>
      </c>
      <c r="B51" s="478">
        <v>235600.5</v>
      </c>
      <c r="C51" s="478">
        <v>132232.70000000001</v>
      </c>
      <c r="D51" s="478">
        <v>3943</v>
      </c>
      <c r="E51" s="478">
        <v>9203</v>
      </c>
      <c r="F51" s="478">
        <v>94568.1</v>
      </c>
      <c r="G51" s="478">
        <f t="shared" si="4"/>
        <v>239946.80000000002</v>
      </c>
      <c r="H51" s="478">
        <v>-135177.1</v>
      </c>
      <c r="I51" s="478">
        <f t="shared" si="8"/>
        <v>104769.70000000001</v>
      </c>
      <c r="J51" s="478">
        <f t="shared" si="9"/>
        <v>340370.2</v>
      </c>
      <c r="K51" s="483"/>
      <c r="L51" s="181"/>
      <c r="M51" s="181"/>
    </row>
    <row r="52" spans="1:13" ht="11.25" customHeight="1" thickBot="1">
      <c r="A52" s="1750" t="s">
        <v>572</v>
      </c>
      <c r="B52" s="1424">
        <v>248198.9</v>
      </c>
      <c r="C52" s="1424">
        <v>126706.8</v>
      </c>
      <c r="D52" s="1424">
        <v>4201.8999999999996</v>
      </c>
      <c r="E52" s="1424">
        <v>8390.4</v>
      </c>
      <c r="F52" s="1424">
        <v>124636.7</v>
      </c>
      <c r="G52" s="1424">
        <f t="shared" si="4"/>
        <v>263935.8</v>
      </c>
      <c r="H52" s="1424">
        <v>-139819.1</v>
      </c>
      <c r="I52" s="1424">
        <f t="shared" si="8"/>
        <v>124116.69999999998</v>
      </c>
      <c r="J52" s="1424">
        <f t="shared" si="9"/>
        <v>372315.6</v>
      </c>
      <c r="K52" s="483"/>
      <c r="L52" s="181"/>
      <c r="M52" s="181"/>
    </row>
    <row r="53" spans="1:13">
      <c r="A53" s="534" t="s">
        <v>1433</v>
      </c>
      <c r="B53" s="274" t="s">
        <v>1298</v>
      </c>
      <c r="C53" s="274"/>
      <c r="D53" s="274"/>
      <c r="E53" s="274"/>
      <c r="F53" s="274"/>
      <c r="G53" s="274"/>
      <c r="H53" s="274"/>
      <c r="I53" s="283" t="s">
        <v>1390</v>
      </c>
      <c r="J53" s="274"/>
      <c r="K53" s="181"/>
      <c r="L53" s="181"/>
    </row>
    <row r="54" spans="1:13">
      <c r="A54" s="230"/>
      <c r="B54" s="230"/>
      <c r="C54" s="230"/>
      <c r="D54" s="230"/>
      <c r="E54" s="230"/>
      <c r="F54" s="239"/>
      <c r="G54" s="230"/>
      <c r="H54" s="230"/>
      <c r="I54" s="230"/>
      <c r="J54" s="644"/>
      <c r="K54" s="181"/>
      <c r="L54" s="181"/>
    </row>
    <row r="55" spans="1:13">
      <c r="B55" s="230"/>
      <c r="F55" s="239"/>
      <c r="L55" s="181"/>
    </row>
    <row r="58" spans="1:13">
      <c r="B58" s="181"/>
      <c r="C58" s="181"/>
      <c r="D58" s="181"/>
      <c r="E58" s="181"/>
      <c r="F58" s="181"/>
      <c r="G58" s="181"/>
      <c r="H58" s="181"/>
      <c r="I58" s="181"/>
      <c r="J58" s="181"/>
    </row>
    <row r="68" spans="2:10">
      <c r="B68" s="181"/>
      <c r="C68" s="181"/>
      <c r="D68" s="181"/>
      <c r="E68" s="181"/>
      <c r="F68" s="181"/>
      <c r="G68" s="181"/>
      <c r="H68" s="181"/>
      <c r="I68" s="181"/>
      <c r="J68" s="181"/>
    </row>
    <row r="69" spans="2:10">
      <c r="B69" s="181"/>
      <c r="C69" s="181"/>
      <c r="D69" s="181"/>
      <c r="E69" s="181"/>
      <c r="F69" s="181"/>
      <c r="G69" s="181"/>
      <c r="H69" s="181"/>
      <c r="I69" s="181"/>
      <c r="J69" s="181"/>
    </row>
    <row r="70" spans="2:10">
      <c r="B70" s="181"/>
      <c r="C70" s="181"/>
      <c r="D70" s="181"/>
      <c r="E70" s="181"/>
      <c r="F70" s="181"/>
      <c r="G70" s="181"/>
      <c r="H70" s="181"/>
      <c r="I70" s="181"/>
      <c r="J70" s="181"/>
    </row>
    <row r="71" spans="2:10">
      <c r="B71" s="181"/>
      <c r="C71" s="181"/>
      <c r="D71" s="181"/>
      <c r="E71" s="181"/>
      <c r="F71" s="181"/>
      <c r="G71" s="181"/>
      <c r="H71" s="181"/>
      <c r="I71" s="181"/>
      <c r="J71" s="181"/>
    </row>
    <row r="72" spans="2:10">
      <c r="B72" s="181"/>
      <c r="C72" s="181"/>
      <c r="D72" s="181"/>
      <c r="E72" s="181"/>
      <c r="F72" s="181"/>
      <c r="G72" s="181"/>
      <c r="H72" s="181"/>
      <c r="I72" s="181"/>
      <c r="J72" s="181"/>
    </row>
    <row r="73" spans="2:10">
      <c r="B73" s="181"/>
      <c r="C73" s="181"/>
      <c r="D73" s="181"/>
      <c r="E73" s="181"/>
      <c r="F73" s="181"/>
      <c r="G73" s="181"/>
      <c r="H73" s="181"/>
      <c r="I73" s="181"/>
      <c r="J73" s="181"/>
    </row>
    <row r="74" spans="2:10">
      <c r="B74" s="181"/>
      <c r="C74" s="181"/>
      <c r="D74" s="181"/>
      <c r="E74" s="181"/>
      <c r="F74" s="181"/>
      <c r="G74" s="181"/>
      <c r="H74" s="181"/>
      <c r="I74" s="181"/>
      <c r="J74" s="181"/>
    </row>
    <row r="75" spans="2:10">
      <c r="B75" s="181"/>
      <c r="C75" s="181"/>
      <c r="D75" s="181"/>
      <c r="E75" s="181"/>
      <c r="F75" s="181"/>
      <c r="G75" s="181"/>
      <c r="H75" s="181"/>
      <c r="I75" s="181"/>
      <c r="J75" s="181"/>
    </row>
    <row r="76" spans="2:10">
      <c r="B76" s="181"/>
      <c r="C76" s="181"/>
      <c r="D76" s="181"/>
      <c r="E76" s="181"/>
      <c r="F76" s="181"/>
      <c r="G76" s="181"/>
      <c r="H76" s="181"/>
      <c r="I76" s="181"/>
      <c r="J76" s="181"/>
    </row>
    <row r="77" spans="2:10">
      <c r="B77" s="181"/>
      <c r="C77" s="181"/>
      <c r="D77" s="181"/>
      <c r="E77" s="181"/>
      <c r="F77" s="181"/>
      <c r="G77" s="181"/>
      <c r="H77" s="181"/>
      <c r="I77" s="181"/>
      <c r="J77" s="181"/>
    </row>
    <row r="78" spans="2:10">
      <c r="B78" s="181"/>
      <c r="C78" s="181"/>
      <c r="D78" s="181"/>
      <c r="E78" s="181"/>
      <c r="F78" s="181"/>
      <c r="G78" s="181"/>
      <c r="H78" s="181"/>
      <c r="I78" s="181"/>
      <c r="J78" s="18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6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5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0"/>
  <sheetViews>
    <sheetView zoomScale="180" zoomScaleNormal="180" workbookViewId="0">
      <pane xSplit="1" ySplit="7" topLeftCell="B32" activePane="bottomRight" state="frozen"/>
      <selection activeCell="F85" sqref="F85"/>
      <selection pane="topRight" activeCell="F85" sqref="F85"/>
      <selection pane="bottomLeft" activeCell="F85" sqref="F85"/>
      <selection pane="bottomRight" activeCell="T58" sqref="T58"/>
    </sheetView>
  </sheetViews>
  <sheetFormatPr defaultColWidth="9.140625" defaultRowHeight="11.25"/>
  <cols>
    <col min="1" max="1" width="8" style="539" customWidth="1"/>
    <col min="2" max="2" width="6.7109375" style="170" customWidth="1"/>
    <col min="3" max="3" width="5.85546875" style="170" customWidth="1"/>
    <col min="4" max="4" width="6.85546875" style="170" customWidth="1"/>
    <col min="5" max="5" width="7.28515625" style="170" customWidth="1"/>
    <col min="6" max="6" width="6.5703125" style="170" customWidth="1"/>
    <col min="7" max="7" width="5.7109375" style="170" customWidth="1"/>
    <col min="8" max="8" width="7.42578125" style="170" customWidth="1"/>
    <col min="9" max="9" width="7" style="178" customWidth="1"/>
    <col min="10" max="10" width="6.5703125" style="170" customWidth="1"/>
    <col min="11" max="11" width="5.5703125" style="170" customWidth="1"/>
    <col min="12" max="12" width="6.28515625" style="170" customWidth="1"/>
    <col min="13" max="13" width="9" style="170" customWidth="1"/>
    <col min="14" max="14" width="8.5703125" style="170" customWidth="1"/>
    <col min="15" max="15" width="8.85546875" style="170" customWidth="1"/>
    <col min="16" max="16" width="10.7109375" style="170" customWidth="1"/>
    <col min="17" max="17" width="10.28515625" style="170" customWidth="1"/>
    <col min="18" max="18" width="11.28515625" style="170" customWidth="1"/>
    <col min="19" max="19" width="10.140625" style="170" customWidth="1"/>
    <col min="20" max="20" width="9.28515625" style="539" customWidth="1"/>
    <col min="21" max="22" width="11" style="170" bestFit="1" customWidth="1"/>
    <col min="23" max="23" width="10" style="170" bestFit="1" customWidth="1"/>
    <col min="24" max="24" width="11.5703125" style="170" bestFit="1" customWidth="1"/>
    <col min="25" max="16384" width="9.140625" style="170"/>
  </cols>
  <sheetData>
    <row r="1" spans="1:24" s="535" customFormat="1" ht="16.5" customHeight="1">
      <c r="B1" s="536"/>
      <c r="C1" s="536"/>
      <c r="D1" s="536"/>
      <c r="E1" s="536"/>
      <c r="F1" s="536"/>
      <c r="G1" s="536"/>
      <c r="H1" s="536"/>
      <c r="I1" s="537"/>
      <c r="J1" s="2036" t="s">
        <v>448</v>
      </c>
      <c r="K1" s="2036"/>
      <c r="L1" s="2036"/>
      <c r="M1" s="2037" t="s">
        <v>1417</v>
      </c>
      <c r="N1" s="2037"/>
      <c r="O1" s="538"/>
      <c r="P1" s="538"/>
      <c r="Q1" s="538"/>
      <c r="R1" s="538"/>
      <c r="S1" s="2034" t="s">
        <v>146</v>
      </c>
      <c r="T1" s="2034"/>
    </row>
    <row r="2" spans="1:24" ht="12" customHeight="1">
      <c r="B2" s="540"/>
      <c r="C2" s="540"/>
      <c r="D2" s="540"/>
      <c r="E2" s="540"/>
      <c r="F2" s="540"/>
      <c r="G2" s="540"/>
      <c r="L2" s="540"/>
      <c r="M2" s="540"/>
      <c r="N2" s="541"/>
      <c r="O2" s="540"/>
      <c r="P2" s="540"/>
      <c r="Q2" s="540"/>
      <c r="R2" s="540"/>
      <c r="S2" s="2039" t="s">
        <v>24</v>
      </c>
      <c r="T2" s="2039"/>
    </row>
    <row r="3" spans="1:24" s="542" customFormat="1" ht="12.75" customHeight="1">
      <c r="A3" s="2041" t="s">
        <v>954</v>
      </c>
      <c r="B3" s="2035" t="s">
        <v>499</v>
      </c>
      <c r="C3" s="2035"/>
      <c r="D3" s="2035"/>
      <c r="E3" s="2035"/>
      <c r="F3" s="2050" t="s">
        <v>587</v>
      </c>
      <c r="G3" s="2040"/>
      <c r="H3" s="2040"/>
      <c r="I3" s="2040"/>
      <c r="J3" s="2040"/>
      <c r="K3" s="2040"/>
      <c r="L3" s="2040"/>
      <c r="M3" s="2040" t="s">
        <v>586</v>
      </c>
      <c r="N3" s="2040"/>
      <c r="O3" s="2040"/>
      <c r="P3" s="1039"/>
      <c r="Q3" s="2032" t="s">
        <v>956</v>
      </c>
      <c r="R3" s="2032" t="s">
        <v>957</v>
      </c>
      <c r="S3" s="2038" t="s">
        <v>1418</v>
      </c>
      <c r="T3" s="2047" t="s">
        <v>492</v>
      </c>
    </row>
    <row r="4" spans="1:24" s="543" customFormat="1" ht="15" customHeight="1">
      <c r="A4" s="2042"/>
      <c r="B4" s="2032" t="s">
        <v>818</v>
      </c>
      <c r="C4" s="2031" t="s">
        <v>159</v>
      </c>
      <c r="D4" s="2047" t="s">
        <v>370</v>
      </c>
      <c r="E4" s="2032" t="s">
        <v>819</v>
      </c>
      <c r="F4" s="2044" t="s">
        <v>414</v>
      </c>
      <c r="G4" s="2045"/>
      <c r="H4" s="2045"/>
      <c r="I4" s="2045"/>
      <c r="J4" s="2045"/>
      <c r="K4" s="2045"/>
      <c r="L4" s="2046"/>
      <c r="M4" s="2035" t="s">
        <v>594</v>
      </c>
      <c r="N4" s="2035"/>
      <c r="O4" s="2035"/>
      <c r="P4" s="2032" t="s">
        <v>955</v>
      </c>
      <c r="Q4" s="2032"/>
      <c r="R4" s="2032"/>
      <c r="S4" s="2038"/>
      <c r="T4" s="2048"/>
    </row>
    <row r="5" spans="1:24" s="543" customFormat="1" ht="15" customHeight="1">
      <c r="A5" s="2042"/>
      <c r="B5" s="2032"/>
      <c r="C5" s="2031"/>
      <c r="D5" s="2048"/>
      <c r="E5" s="2032"/>
      <c r="F5" s="2035" t="s">
        <v>1404</v>
      </c>
      <c r="G5" s="2035"/>
      <c r="H5" s="2035"/>
      <c r="I5" s="2035"/>
      <c r="J5" s="2035" t="s">
        <v>502</v>
      </c>
      <c r="K5" s="2035"/>
      <c r="L5" s="2035"/>
      <c r="M5" s="2047" t="s">
        <v>822</v>
      </c>
      <c r="N5" s="2047" t="s">
        <v>159</v>
      </c>
      <c r="O5" s="2047" t="s">
        <v>823</v>
      </c>
      <c r="P5" s="2032"/>
      <c r="Q5" s="2032"/>
      <c r="R5" s="2032"/>
      <c r="S5" s="2038"/>
      <c r="T5" s="2048"/>
    </row>
    <row r="6" spans="1:24" s="543" customFormat="1" ht="34.5" customHeight="1">
      <c r="A6" s="2042"/>
      <c r="B6" s="2032"/>
      <c r="C6" s="2031"/>
      <c r="D6" s="2049"/>
      <c r="E6" s="2032"/>
      <c r="F6" s="1018" t="s">
        <v>115</v>
      </c>
      <c r="G6" s="544" t="s">
        <v>159</v>
      </c>
      <c r="H6" s="1018" t="s">
        <v>1310</v>
      </c>
      <c r="I6" s="1018" t="s">
        <v>820</v>
      </c>
      <c r="J6" s="1018" t="s">
        <v>115</v>
      </c>
      <c r="K6" s="545" t="s">
        <v>159</v>
      </c>
      <c r="L6" s="1018" t="s">
        <v>821</v>
      </c>
      <c r="M6" s="2049"/>
      <c r="N6" s="2049"/>
      <c r="O6" s="2049"/>
      <c r="P6" s="2032"/>
      <c r="Q6" s="2032"/>
      <c r="R6" s="2032"/>
      <c r="S6" s="2038"/>
      <c r="T6" s="2048"/>
    </row>
    <row r="7" spans="1:24" s="546" customFormat="1" ht="10.5">
      <c r="A7" s="2043"/>
      <c r="B7" s="260">
        <v>1</v>
      </c>
      <c r="C7" s="260">
        <v>2</v>
      </c>
      <c r="D7" s="260">
        <v>3</v>
      </c>
      <c r="E7" s="260">
        <v>4</v>
      </c>
      <c r="F7" s="260">
        <v>5</v>
      </c>
      <c r="G7" s="260">
        <v>6</v>
      </c>
      <c r="H7" s="260">
        <v>7</v>
      </c>
      <c r="I7" s="260">
        <v>8</v>
      </c>
      <c r="J7" s="260">
        <v>9</v>
      </c>
      <c r="K7" s="260">
        <v>10</v>
      </c>
      <c r="L7" s="260">
        <v>11</v>
      </c>
      <c r="M7" s="260">
        <v>12</v>
      </c>
      <c r="N7" s="260">
        <v>13</v>
      </c>
      <c r="O7" s="260">
        <v>14</v>
      </c>
      <c r="P7" s="260">
        <v>15</v>
      </c>
      <c r="Q7" s="260">
        <v>16</v>
      </c>
      <c r="R7" s="260">
        <v>17</v>
      </c>
      <c r="S7" s="1045">
        <v>18</v>
      </c>
      <c r="T7" s="2049"/>
    </row>
    <row r="8" spans="1:24" ht="10.35" customHeight="1">
      <c r="A8" s="1034" t="s">
        <v>81</v>
      </c>
      <c r="B8" s="415">
        <v>67049.8</v>
      </c>
      <c r="C8" s="415">
        <v>-221.7</v>
      </c>
      <c r="D8" s="415">
        <v>-5768.2</v>
      </c>
      <c r="E8" s="415">
        <v>61059.900000000009</v>
      </c>
      <c r="F8" s="1075">
        <v>54225</v>
      </c>
      <c r="G8" s="415">
        <v>175.5</v>
      </c>
      <c r="H8" s="415">
        <v>61381.4</v>
      </c>
      <c r="I8" s="415">
        <f t="shared" ref="I8:I10" si="0">F8+G8+H8</f>
        <v>115781.9</v>
      </c>
      <c r="J8" s="1075">
        <v>12762.9</v>
      </c>
      <c r="K8" s="415">
        <v>93.8</v>
      </c>
      <c r="L8" s="415">
        <f t="shared" ref="L8:L10" si="1">J8+K8</f>
        <v>12856.699999999999</v>
      </c>
      <c r="M8" s="415">
        <v>261852</v>
      </c>
      <c r="N8" s="415">
        <v>23541.3</v>
      </c>
      <c r="O8" s="415">
        <v>285393.3</v>
      </c>
      <c r="P8" s="415">
        <f t="shared" ref="P8:P10" si="2">I8+L8+O8</f>
        <v>414031.89999999997</v>
      </c>
      <c r="Q8" s="529">
        <v>-45754.599999999977</v>
      </c>
      <c r="R8" s="415">
        <f t="shared" ref="R8:R10" si="3">P8+Q8</f>
        <v>368277.3</v>
      </c>
      <c r="S8" s="415">
        <f t="shared" ref="S8:S10" si="4">E8+R8</f>
        <v>429337.2</v>
      </c>
      <c r="T8" s="252" t="s">
        <v>81</v>
      </c>
      <c r="U8" s="181"/>
      <c r="V8" s="181"/>
      <c r="W8" s="181"/>
      <c r="X8" s="181"/>
    </row>
    <row r="9" spans="1:24" ht="10.35" customHeight="1">
      <c r="A9" s="325" t="s">
        <v>192</v>
      </c>
      <c r="B9" s="665">
        <v>70573.399999999994</v>
      </c>
      <c r="C9" s="665">
        <v>-404.7</v>
      </c>
      <c r="D9" s="665">
        <v>-6049.4</v>
      </c>
      <c r="E9" s="665">
        <v>64119.299999999996</v>
      </c>
      <c r="F9" s="1093">
        <v>73200.600000000006</v>
      </c>
      <c r="G9" s="665">
        <v>372.6</v>
      </c>
      <c r="H9" s="665">
        <v>63438.3</v>
      </c>
      <c r="I9" s="665">
        <f t="shared" si="0"/>
        <v>137011.5</v>
      </c>
      <c r="J9" s="1093">
        <v>16901.400000000001</v>
      </c>
      <c r="K9" s="665">
        <v>108</v>
      </c>
      <c r="L9" s="665">
        <f t="shared" si="1"/>
        <v>17009.400000000001</v>
      </c>
      <c r="M9" s="665">
        <v>332161.3</v>
      </c>
      <c r="N9" s="665">
        <v>27348.5</v>
      </c>
      <c r="O9" s="665">
        <v>359509.8</v>
      </c>
      <c r="P9" s="665">
        <f t="shared" si="2"/>
        <v>513530.69999999995</v>
      </c>
      <c r="Q9" s="664">
        <v>-67193.599999999977</v>
      </c>
      <c r="R9" s="665">
        <f t="shared" si="3"/>
        <v>446337.1</v>
      </c>
      <c r="S9" s="665">
        <f t="shared" si="4"/>
        <v>510456.39999999997</v>
      </c>
      <c r="T9" s="326" t="s">
        <v>192</v>
      </c>
      <c r="U9" s="181"/>
      <c r="V9" s="181"/>
      <c r="W9" s="181"/>
      <c r="X9" s="181"/>
    </row>
    <row r="10" spans="1:24" ht="10.35" customHeight="1">
      <c r="A10" s="1034" t="s">
        <v>757</v>
      </c>
      <c r="B10" s="415">
        <v>78818.7</v>
      </c>
      <c r="C10" s="415">
        <v>-378.5</v>
      </c>
      <c r="D10" s="415">
        <v>-6273.8</v>
      </c>
      <c r="E10" s="415">
        <v>72166.399999999994</v>
      </c>
      <c r="F10" s="1092">
        <v>91700.5</v>
      </c>
      <c r="G10" s="415">
        <v>261.89999999999998</v>
      </c>
      <c r="H10" s="415">
        <v>63861.3</v>
      </c>
      <c r="I10" s="415">
        <f t="shared" si="0"/>
        <v>155823.70000000001</v>
      </c>
      <c r="J10" s="1092">
        <v>15284.1</v>
      </c>
      <c r="K10" s="415">
        <v>46</v>
      </c>
      <c r="L10" s="415">
        <f t="shared" si="1"/>
        <v>15330.1</v>
      </c>
      <c r="M10" s="415">
        <v>398311.5</v>
      </c>
      <c r="N10" s="415">
        <v>31174.9</v>
      </c>
      <c r="O10" s="415">
        <v>429486.4</v>
      </c>
      <c r="P10" s="415">
        <f t="shared" si="2"/>
        <v>600640.20000000007</v>
      </c>
      <c r="Q10" s="529">
        <v>-82966.200000000099</v>
      </c>
      <c r="R10" s="415">
        <f t="shared" si="3"/>
        <v>517674</v>
      </c>
      <c r="S10" s="415">
        <f t="shared" si="4"/>
        <v>589840.4</v>
      </c>
      <c r="T10" s="252" t="s">
        <v>757</v>
      </c>
      <c r="U10" s="181"/>
      <c r="V10" s="181"/>
      <c r="W10" s="181"/>
      <c r="X10" s="181"/>
    </row>
    <row r="11" spans="1:24" ht="10.35" customHeight="1">
      <c r="A11" s="325" t="s">
        <v>866</v>
      </c>
      <c r="B11" s="665">
        <v>113250.1</v>
      </c>
      <c r="C11" s="665">
        <v>-344.5</v>
      </c>
      <c r="D11" s="665">
        <v>-6493.8</v>
      </c>
      <c r="E11" s="665">
        <v>106411.8</v>
      </c>
      <c r="F11" s="1091">
        <v>110094.5</v>
      </c>
      <c r="G11" s="665">
        <v>249.7</v>
      </c>
      <c r="H11" s="665">
        <v>64634.2</v>
      </c>
      <c r="I11" s="665">
        <v>174978.4</v>
      </c>
      <c r="J11" s="1091">
        <v>9376.7999999999993</v>
      </c>
      <c r="K11" s="665">
        <v>43.7</v>
      </c>
      <c r="L11" s="665">
        <v>9420.5</v>
      </c>
      <c r="M11" s="665">
        <v>440915.1</v>
      </c>
      <c r="N11" s="665">
        <v>36526.800000000003</v>
      </c>
      <c r="O11" s="665">
        <v>477441.89999999997</v>
      </c>
      <c r="P11" s="665">
        <v>661840.79999999993</v>
      </c>
      <c r="Q11" s="664">
        <v>-88069.7</v>
      </c>
      <c r="R11" s="665">
        <v>573771.1</v>
      </c>
      <c r="S11" s="665">
        <v>680182.9</v>
      </c>
      <c r="T11" s="326" t="s">
        <v>866</v>
      </c>
      <c r="U11" s="181"/>
      <c r="V11" s="181"/>
      <c r="W11" s="181"/>
      <c r="X11" s="181"/>
    </row>
    <row r="12" spans="1:24" s="168" customFormat="1" ht="10.35" customHeight="1">
      <c r="A12" s="414" t="s">
        <v>1051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29">
        <v>-105128.7</v>
      </c>
      <c r="R12" s="56">
        <v>639402.60000000009</v>
      </c>
      <c r="S12" s="56">
        <v>792445.3</v>
      </c>
      <c r="T12" s="846" t="s">
        <v>1051</v>
      </c>
    </row>
    <row r="13" spans="1:24" s="267" customFormat="1" ht="10.35" customHeight="1">
      <c r="A13" s="603" t="s">
        <v>1105</v>
      </c>
      <c r="B13" s="1091">
        <v>189228.79999999999</v>
      </c>
      <c r="C13" s="1091">
        <v>-274.10000000000002</v>
      </c>
      <c r="D13" s="1091">
        <v>-7257.5</v>
      </c>
      <c r="E13" s="1091">
        <v>181697.19999999998</v>
      </c>
      <c r="F13" s="1091">
        <v>110224.8</v>
      </c>
      <c r="G13" s="1091">
        <v>183.4</v>
      </c>
      <c r="H13" s="1091">
        <v>105074</v>
      </c>
      <c r="I13" s="1091">
        <v>215482.2</v>
      </c>
      <c r="J13" s="1091">
        <v>16448.8</v>
      </c>
      <c r="K13" s="1091">
        <v>80.3</v>
      </c>
      <c r="L13" s="1091">
        <v>16529.099999999999</v>
      </c>
      <c r="M13" s="1091">
        <v>557021.80000000005</v>
      </c>
      <c r="N13" s="1091">
        <v>50121.5</v>
      </c>
      <c r="O13" s="1091">
        <v>607143.30000000005</v>
      </c>
      <c r="P13" s="1091">
        <v>839154.60000000009</v>
      </c>
      <c r="Q13" s="1091">
        <v>-110802.8</v>
      </c>
      <c r="R13" s="1091">
        <v>728351.8</v>
      </c>
      <c r="S13" s="1091">
        <v>910049</v>
      </c>
      <c r="T13" s="575" t="s">
        <v>1105</v>
      </c>
      <c r="U13" s="239"/>
    </row>
    <row r="14" spans="1:24" s="267" customFormat="1" ht="10.35" customHeight="1">
      <c r="A14" s="561" t="s">
        <v>1231</v>
      </c>
      <c r="B14" s="1092">
        <v>233135.6</v>
      </c>
      <c r="C14" s="1092">
        <v>-83</v>
      </c>
      <c r="D14" s="1092">
        <v>-8475.2000000000007</v>
      </c>
      <c r="E14" s="1092">
        <v>224577.4</v>
      </c>
      <c r="F14" s="1092">
        <v>114189.1</v>
      </c>
      <c r="G14" s="1092">
        <v>-89.1</v>
      </c>
      <c r="H14" s="1092">
        <v>138762.6</v>
      </c>
      <c r="I14" s="1092">
        <v>252862.6</v>
      </c>
      <c r="J14" s="1092">
        <v>15573</v>
      </c>
      <c r="K14" s="1092">
        <v>108.3</v>
      </c>
      <c r="L14" s="1092">
        <v>15681.3</v>
      </c>
      <c r="M14" s="1092">
        <v>650644</v>
      </c>
      <c r="N14" s="1092">
        <v>60778.8</v>
      </c>
      <c r="O14" s="1092">
        <v>711422.8</v>
      </c>
      <c r="P14" s="1092">
        <v>979966.70000000007</v>
      </c>
      <c r="Q14" s="1092">
        <v>-127800.9</v>
      </c>
      <c r="R14" s="1092">
        <v>852165.8</v>
      </c>
      <c r="S14" s="1092">
        <v>1076743.2</v>
      </c>
      <c r="T14" s="562" t="s">
        <v>1231</v>
      </c>
      <c r="U14" s="239"/>
    </row>
    <row r="15" spans="1:24" s="267" customFormat="1" ht="10.35" customHeight="1">
      <c r="A15" s="603" t="s">
        <v>1263</v>
      </c>
      <c r="B15" s="1091">
        <v>266697</v>
      </c>
      <c r="C15" s="1091">
        <v>-46.6</v>
      </c>
      <c r="D15" s="1091">
        <v>-9534.1</v>
      </c>
      <c r="E15" s="1091">
        <v>257116.3</v>
      </c>
      <c r="F15" s="1091">
        <v>97307.599999999991</v>
      </c>
      <c r="G15" s="1091">
        <v>-108.6</v>
      </c>
      <c r="H15" s="1091">
        <v>191178.6</v>
      </c>
      <c r="I15" s="1091">
        <v>288377.59999999998</v>
      </c>
      <c r="J15" s="1091">
        <v>16744.2</v>
      </c>
      <c r="K15" s="1091">
        <v>142.6</v>
      </c>
      <c r="L15" s="1091">
        <v>16886.8</v>
      </c>
      <c r="M15" s="1091">
        <v>752988.79999999993</v>
      </c>
      <c r="N15" s="1091">
        <v>71394.7</v>
      </c>
      <c r="O15" s="1091">
        <v>824383.49999999988</v>
      </c>
      <c r="P15" s="1091">
        <v>1129647.8999999999</v>
      </c>
      <c r="Q15" s="1091">
        <v>-153298.70000000001</v>
      </c>
      <c r="R15" s="1091">
        <v>976349.2</v>
      </c>
      <c r="S15" s="1091">
        <v>1233465.5</v>
      </c>
      <c r="T15" s="575" t="s">
        <v>1263</v>
      </c>
      <c r="U15" s="239"/>
    </row>
    <row r="16" spans="1:24" s="267" customFormat="1" ht="10.35" customHeight="1">
      <c r="A16" s="561" t="s">
        <v>1392</v>
      </c>
      <c r="B16" s="1092">
        <v>264674.5</v>
      </c>
      <c r="C16" s="1092">
        <v>-20.5</v>
      </c>
      <c r="D16" s="1092">
        <v>-11436.5</v>
      </c>
      <c r="E16" s="1092">
        <v>253217.5</v>
      </c>
      <c r="F16" s="1092">
        <v>94869.599999999991</v>
      </c>
      <c r="G16" s="1092">
        <v>-3111.6</v>
      </c>
      <c r="H16" s="1092">
        <v>237765</v>
      </c>
      <c r="I16" s="1092">
        <v>329523</v>
      </c>
      <c r="J16" s="1092">
        <v>11337.8</v>
      </c>
      <c r="K16" s="1092">
        <v>787.8</v>
      </c>
      <c r="L16" s="1092">
        <v>12125.599999999999</v>
      </c>
      <c r="M16" s="1092">
        <v>880749.5</v>
      </c>
      <c r="N16" s="1092">
        <v>89467</v>
      </c>
      <c r="O16" s="1092">
        <v>970216.5</v>
      </c>
      <c r="P16" s="1092">
        <v>1311865.1000000001</v>
      </c>
      <c r="Q16" s="1092">
        <v>-191334.1</v>
      </c>
      <c r="R16" s="1092">
        <v>1120531</v>
      </c>
      <c r="S16" s="1092">
        <v>1373748.5</v>
      </c>
      <c r="T16" s="562" t="s">
        <v>1392</v>
      </c>
      <c r="U16" s="239"/>
    </row>
    <row r="17" spans="1:24" s="267" customFormat="1" ht="10.35" customHeight="1">
      <c r="A17" s="341" t="s">
        <v>1511</v>
      </c>
      <c r="B17" s="1091">
        <v>272399.5</v>
      </c>
      <c r="C17" s="1091">
        <v>-155.1</v>
      </c>
      <c r="D17" s="1091">
        <v>-12662.8</v>
      </c>
      <c r="E17" s="1091">
        <v>259581.6</v>
      </c>
      <c r="F17" s="1091">
        <v>113248.3</v>
      </c>
      <c r="G17" s="1091">
        <v>-2534.3000000000002</v>
      </c>
      <c r="H17" s="1091">
        <v>287704.5</v>
      </c>
      <c r="I17" s="1091">
        <v>398418.5</v>
      </c>
      <c r="J17" s="1091">
        <v>13590.7</v>
      </c>
      <c r="K17" s="1091">
        <v>1239.4000000000001</v>
      </c>
      <c r="L17" s="1091">
        <v>14830.1</v>
      </c>
      <c r="M17" s="1091">
        <v>985443.3</v>
      </c>
      <c r="N17" s="1091">
        <v>93123</v>
      </c>
      <c r="O17" s="1091">
        <v>1078566.3</v>
      </c>
      <c r="P17" s="1091">
        <v>1491814.9</v>
      </c>
      <c r="Q17" s="1091">
        <v>-217369.60000000001</v>
      </c>
      <c r="R17" s="1091">
        <v>1274445.2999999998</v>
      </c>
      <c r="S17" s="1091">
        <v>1534026.9</v>
      </c>
      <c r="T17" s="370" t="s">
        <v>1511</v>
      </c>
      <c r="U17" s="239"/>
    </row>
    <row r="18" spans="1:24" ht="10.35" customHeight="1">
      <c r="A18" s="168" t="s">
        <v>1602</v>
      </c>
      <c r="B18" s="1092">
        <v>297336.2</v>
      </c>
      <c r="C18" s="1092">
        <v>-113.1</v>
      </c>
      <c r="D18" s="1092">
        <v>-13909.2</v>
      </c>
      <c r="E18" s="1092">
        <v>283313.90000000002</v>
      </c>
      <c r="F18" s="1092">
        <v>181119.4</v>
      </c>
      <c r="G18" s="1092">
        <v>71.3</v>
      </c>
      <c r="H18" s="1092">
        <v>302132.8</v>
      </c>
      <c r="I18" s="1092">
        <v>483323.5</v>
      </c>
      <c r="J18" s="1092">
        <v>19200.800000000003</v>
      </c>
      <c r="K18" s="1092">
        <v>1285.2</v>
      </c>
      <c r="L18" s="1092">
        <v>20486.000000000004</v>
      </c>
      <c r="M18" s="1092">
        <v>1075226.5</v>
      </c>
      <c r="N18" s="1092">
        <v>91712.4</v>
      </c>
      <c r="O18" s="1092">
        <v>1166938.8999999999</v>
      </c>
      <c r="P18" s="1092">
        <v>1670748.4</v>
      </c>
      <c r="Q18" s="1092">
        <v>-250124.9</v>
      </c>
      <c r="R18" s="1092">
        <v>1420623.5</v>
      </c>
      <c r="S18" s="1092">
        <v>1703937.4</v>
      </c>
      <c r="T18" s="215" t="s">
        <v>1602</v>
      </c>
      <c r="U18" s="181"/>
    </row>
    <row r="19" spans="1:24" s="168" customFormat="1" ht="10.35" customHeight="1">
      <c r="A19" s="375" t="s">
        <v>1668</v>
      </c>
      <c r="B19" s="1094">
        <v>382179.2</v>
      </c>
      <c r="C19" s="1094">
        <v>-191.5</v>
      </c>
      <c r="D19" s="1094">
        <v>-14841.5</v>
      </c>
      <c r="E19" s="1094">
        <v>367146.2</v>
      </c>
      <c r="F19" s="1094">
        <v>220997.5</v>
      </c>
      <c r="G19" s="1094">
        <v>-621.4</v>
      </c>
      <c r="H19" s="1094">
        <v>344143.9</v>
      </c>
      <c r="I19" s="1094">
        <v>564520</v>
      </c>
      <c r="J19" s="1094">
        <v>19666.599999999999</v>
      </c>
      <c r="K19" s="1094">
        <v>1305.4000000000001</v>
      </c>
      <c r="L19" s="1094">
        <v>20972</v>
      </c>
      <c r="M19" s="1094">
        <v>1164390.5</v>
      </c>
      <c r="N19" s="1094">
        <v>94826.3</v>
      </c>
      <c r="O19" s="1094">
        <v>1259216.8</v>
      </c>
      <c r="P19" s="1094">
        <v>1844708.8</v>
      </c>
      <c r="Q19" s="1094">
        <v>-282809.7</v>
      </c>
      <c r="R19" s="1094">
        <v>1561899.1</v>
      </c>
      <c r="S19" s="1094">
        <v>1929045.3</v>
      </c>
      <c r="T19" s="322" t="s">
        <v>1668</v>
      </c>
      <c r="U19" s="908"/>
    </row>
    <row r="20" spans="1:24" s="168" customFormat="1" ht="10.35" customHeight="1">
      <c r="A20" s="936" t="s">
        <v>2018</v>
      </c>
      <c r="B20" s="1094">
        <f>B32</f>
        <v>364298.8</v>
      </c>
      <c r="C20" s="1094">
        <f t="shared" ref="C20:S20" si="5">C32</f>
        <v>-309.5</v>
      </c>
      <c r="D20" s="1094">
        <f t="shared" si="5"/>
        <v>-13446.1</v>
      </c>
      <c r="E20" s="1094">
        <f t="shared" si="5"/>
        <v>350543.2</v>
      </c>
      <c r="F20" s="1094">
        <f t="shared" si="5"/>
        <v>283289.09999999998</v>
      </c>
      <c r="G20" s="1094">
        <f t="shared" si="5"/>
        <v>-328</v>
      </c>
      <c r="H20" s="1094">
        <f t="shared" si="5"/>
        <v>364051</v>
      </c>
      <c r="I20" s="1094">
        <f t="shared" si="5"/>
        <v>647012.1</v>
      </c>
      <c r="J20" s="1094">
        <f t="shared" si="5"/>
        <v>27775.1</v>
      </c>
      <c r="K20" s="1094">
        <f t="shared" si="5"/>
        <v>1284.8</v>
      </c>
      <c r="L20" s="1094">
        <f t="shared" si="5"/>
        <v>29059.899999999998</v>
      </c>
      <c r="M20" s="1094">
        <f t="shared" si="5"/>
        <v>1328344.5999999999</v>
      </c>
      <c r="N20" s="1094">
        <f t="shared" si="5"/>
        <v>97727.3</v>
      </c>
      <c r="O20" s="1094">
        <f t="shared" si="5"/>
        <v>1426071.9</v>
      </c>
      <c r="P20" s="1094">
        <f t="shared" si="5"/>
        <v>2102143.9</v>
      </c>
      <c r="Q20" s="1094">
        <f t="shared" si="5"/>
        <v>-354713.8</v>
      </c>
      <c r="R20" s="1094">
        <f t="shared" si="5"/>
        <v>1747430.0999999999</v>
      </c>
      <c r="S20" s="1094">
        <f t="shared" si="5"/>
        <v>2097973.2999999998</v>
      </c>
      <c r="T20" s="377" t="s">
        <v>2018</v>
      </c>
      <c r="U20" s="908"/>
      <c r="V20" s="908"/>
    </row>
    <row r="21" spans="1:24" s="168" customFormat="1" ht="10.35" customHeight="1">
      <c r="A21" s="413" t="s">
        <v>576</v>
      </c>
      <c r="B21" s="1091">
        <f>369407.2+14441.4</f>
        <v>383848.60000000003</v>
      </c>
      <c r="C21" s="1091">
        <v>-179.1</v>
      </c>
      <c r="D21" s="1096">
        <v>-14804.8</v>
      </c>
      <c r="E21" s="1096">
        <f t="shared" ref="E21:E39" si="6">D21+C21+B21</f>
        <v>368864.7</v>
      </c>
      <c r="F21" s="1091">
        <f>12440.4+216678.8</f>
        <v>229119.19999999998</v>
      </c>
      <c r="G21" s="1091">
        <v>-561.70000000000005</v>
      </c>
      <c r="H21" s="308">
        <v>346247.9</v>
      </c>
      <c r="I21" s="308">
        <f t="shared" ref="I21:I24" si="7">H21+G21+F21</f>
        <v>574805.4</v>
      </c>
      <c r="J21" s="308">
        <f>1596.1+18283.8</f>
        <v>19879.899999999998</v>
      </c>
      <c r="K21" s="1091">
        <v>1305.3</v>
      </c>
      <c r="L21" s="1091">
        <f t="shared" ref="L21:L47" si="8">J21+K21</f>
        <v>21185.199999999997</v>
      </c>
      <c r="M21" s="1091">
        <f>4328.5+1159041.7</f>
        <v>1163370.2</v>
      </c>
      <c r="N21" s="308">
        <v>94498.7</v>
      </c>
      <c r="O21" s="308">
        <f t="shared" ref="O21:O24" si="9">M21+N21</f>
        <v>1257868.8999999999</v>
      </c>
      <c r="P21" s="308">
        <f t="shared" ref="P21:P27" si="10">I21+L21+O21</f>
        <v>1853859.5</v>
      </c>
      <c r="Q21" s="308">
        <v>-273726.7</v>
      </c>
      <c r="R21" s="308">
        <f t="shared" ref="R21:R31" si="11">P21+Q21</f>
        <v>1580132.8</v>
      </c>
      <c r="S21" s="308">
        <f t="shared" ref="S21:S31" si="12">E21+R21</f>
        <v>1948997.5</v>
      </c>
      <c r="T21" s="370" t="s">
        <v>576</v>
      </c>
      <c r="U21" s="778"/>
      <c r="V21" s="908"/>
    </row>
    <row r="22" spans="1:24" s="168" customFormat="1" ht="10.35" customHeight="1">
      <c r="A22" s="399" t="s">
        <v>577</v>
      </c>
      <c r="B22" s="1092">
        <f>370193.5+17245.1</f>
        <v>387438.6</v>
      </c>
      <c r="C22" s="1092">
        <v>-180.6</v>
      </c>
      <c r="D22" s="1095">
        <v>-14772.9</v>
      </c>
      <c r="E22" s="1095">
        <f t="shared" si="6"/>
        <v>372485.1</v>
      </c>
      <c r="F22" s="1092">
        <f>6278.9+218203</f>
        <v>224481.9</v>
      </c>
      <c r="G22" s="1092">
        <v>-314</v>
      </c>
      <c r="H22" s="56">
        <v>349876.5</v>
      </c>
      <c r="I22" s="56">
        <f t="shared" si="7"/>
        <v>574044.4</v>
      </c>
      <c r="J22" s="56">
        <f>1597.7+18667.3</f>
        <v>20265</v>
      </c>
      <c r="K22" s="1092">
        <v>1303</v>
      </c>
      <c r="L22" s="1092">
        <f t="shared" si="8"/>
        <v>21568</v>
      </c>
      <c r="M22" s="1092">
        <f>4304+1166926.2</f>
        <v>1171230.2</v>
      </c>
      <c r="N22" s="56">
        <v>94405</v>
      </c>
      <c r="O22" s="56">
        <f t="shared" si="9"/>
        <v>1265635.2</v>
      </c>
      <c r="P22" s="56">
        <f t="shared" si="10"/>
        <v>1861247.6</v>
      </c>
      <c r="Q22" s="56">
        <v>-282261.8</v>
      </c>
      <c r="R22" s="56">
        <f t="shared" si="11"/>
        <v>1578985.8</v>
      </c>
      <c r="S22" s="56">
        <f t="shared" si="12"/>
        <v>1951470.9</v>
      </c>
      <c r="T22" s="394" t="s">
        <v>577</v>
      </c>
      <c r="U22" s="778"/>
      <c r="V22" s="908"/>
      <c r="W22" s="908"/>
      <c r="X22" s="908"/>
    </row>
    <row r="23" spans="1:24" s="168" customFormat="1" ht="10.35" customHeight="1">
      <c r="A23" s="413" t="s">
        <v>571</v>
      </c>
      <c r="B23" s="1091">
        <f>361730.3+15858.6</f>
        <v>377588.89999999997</v>
      </c>
      <c r="C23" s="1091">
        <v>-225</v>
      </c>
      <c r="D23" s="1096">
        <v>-14667.6</v>
      </c>
      <c r="E23" s="1096">
        <f t="shared" si="6"/>
        <v>362696.3</v>
      </c>
      <c r="F23" s="1091">
        <f>7273.4+220245.3</f>
        <v>227518.69999999998</v>
      </c>
      <c r="G23" s="1091">
        <v>-390.3</v>
      </c>
      <c r="H23" s="308">
        <v>352702.1</v>
      </c>
      <c r="I23" s="308">
        <f t="shared" si="7"/>
        <v>579830.5</v>
      </c>
      <c r="J23" s="308">
        <f>1599.3+19443.7</f>
        <v>21043</v>
      </c>
      <c r="K23" s="1091">
        <v>1306.2</v>
      </c>
      <c r="L23" s="1091">
        <f t="shared" si="8"/>
        <v>22349.200000000001</v>
      </c>
      <c r="M23" s="1091">
        <f>4278+1182744.8</f>
        <v>1187022.8</v>
      </c>
      <c r="N23" s="308">
        <v>94238.3</v>
      </c>
      <c r="O23" s="308">
        <f t="shared" si="9"/>
        <v>1281261.1000000001</v>
      </c>
      <c r="P23" s="308">
        <f t="shared" si="10"/>
        <v>1883440.8</v>
      </c>
      <c r="Q23" s="308">
        <v>-285774.40000000002</v>
      </c>
      <c r="R23" s="308">
        <f t="shared" si="11"/>
        <v>1597666.4</v>
      </c>
      <c r="S23" s="308">
        <f t="shared" si="12"/>
        <v>1960362.7</v>
      </c>
      <c r="T23" s="370" t="s">
        <v>571</v>
      </c>
      <c r="U23" s="778"/>
      <c r="V23" s="908"/>
      <c r="W23" s="908"/>
      <c r="X23" s="908"/>
    </row>
    <row r="24" spans="1:24" s="168" customFormat="1" ht="10.35" customHeight="1">
      <c r="A24" s="399" t="s">
        <v>578</v>
      </c>
      <c r="B24" s="1092">
        <f>358585.9+18278.8</f>
        <v>376864.7</v>
      </c>
      <c r="C24" s="1092">
        <v>-212.8</v>
      </c>
      <c r="D24" s="1095">
        <v>-14559.4</v>
      </c>
      <c r="E24" s="1095">
        <f t="shared" si="6"/>
        <v>362092.5</v>
      </c>
      <c r="F24" s="1092">
        <f>8393.7+222573.4</f>
        <v>230967.1</v>
      </c>
      <c r="G24" s="1092">
        <v>-565.6</v>
      </c>
      <c r="H24" s="56">
        <v>353468.5</v>
      </c>
      <c r="I24" s="56">
        <f t="shared" si="7"/>
        <v>583870</v>
      </c>
      <c r="J24" s="56">
        <f>1600.9+20588.5</f>
        <v>22189.4</v>
      </c>
      <c r="K24" s="1092">
        <v>1340.7</v>
      </c>
      <c r="L24" s="1092">
        <f t="shared" si="8"/>
        <v>23530.100000000002</v>
      </c>
      <c r="M24" s="1092">
        <f>4276.9+1192200.9</f>
        <v>1196477.7999999998</v>
      </c>
      <c r="N24" s="56">
        <v>93564.2</v>
      </c>
      <c r="O24" s="56">
        <f t="shared" si="9"/>
        <v>1290041.9999999998</v>
      </c>
      <c r="P24" s="56">
        <f t="shared" si="10"/>
        <v>1897442.0999999996</v>
      </c>
      <c r="Q24" s="56">
        <v>-290265.59999999998</v>
      </c>
      <c r="R24" s="56">
        <f t="shared" si="11"/>
        <v>1607176.4999999995</v>
      </c>
      <c r="S24" s="56">
        <f t="shared" si="12"/>
        <v>1969268.9999999995</v>
      </c>
      <c r="T24" s="394" t="s">
        <v>578</v>
      </c>
      <c r="U24" s="778"/>
      <c r="V24" s="908"/>
      <c r="W24" s="908"/>
      <c r="X24" s="908"/>
    </row>
    <row r="25" spans="1:24" s="168" customFormat="1" ht="10.35" customHeight="1">
      <c r="A25" s="413" t="s">
        <v>579</v>
      </c>
      <c r="B25" s="1091">
        <f>352218.6+13243.3</f>
        <v>365461.89999999997</v>
      </c>
      <c r="C25" s="1091">
        <v>-347.9</v>
      </c>
      <c r="D25" s="1096">
        <v>-14486.4</v>
      </c>
      <c r="E25" s="1096">
        <f t="shared" si="6"/>
        <v>350627.6</v>
      </c>
      <c r="F25" s="1091">
        <f>17488.1+222563.1</f>
        <v>240051.20000000001</v>
      </c>
      <c r="G25" s="1091">
        <v>-532</v>
      </c>
      <c r="H25" s="308">
        <v>354169.7</v>
      </c>
      <c r="I25" s="308">
        <f t="shared" ref="I25:I40" si="13">H25+G25+F25</f>
        <v>593688.9</v>
      </c>
      <c r="J25" s="308">
        <f>1602.5+22128.2</f>
        <v>23730.7</v>
      </c>
      <c r="K25" s="1091">
        <v>1371.4</v>
      </c>
      <c r="L25" s="1091">
        <f t="shared" si="8"/>
        <v>25102.100000000002</v>
      </c>
      <c r="M25" s="1091">
        <f>4260+1207447.1</f>
        <v>1211707.1000000001</v>
      </c>
      <c r="N25" s="308">
        <v>93598.7</v>
      </c>
      <c r="O25" s="308">
        <f t="shared" ref="O25:O42" si="14">M25+N25</f>
        <v>1305305.8</v>
      </c>
      <c r="P25" s="308">
        <f t="shared" si="10"/>
        <v>1924096.8</v>
      </c>
      <c r="Q25" s="308">
        <v>-295849.5</v>
      </c>
      <c r="R25" s="308">
        <f t="shared" si="11"/>
        <v>1628247.3</v>
      </c>
      <c r="S25" s="308">
        <f t="shared" si="12"/>
        <v>1978874.9</v>
      </c>
      <c r="T25" s="370" t="s">
        <v>579</v>
      </c>
      <c r="U25" s="778"/>
      <c r="V25" s="908"/>
      <c r="W25" s="908"/>
      <c r="X25" s="908"/>
    </row>
    <row r="26" spans="1:24" s="168" customFormat="1" ht="10.35" customHeight="1">
      <c r="A26" s="399" t="s">
        <v>572</v>
      </c>
      <c r="B26" s="1092">
        <f>354607.3+14548</f>
        <v>369155.3</v>
      </c>
      <c r="C26" s="1092">
        <v>-348.7</v>
      </c>
      <c r="D26" s="1095">
        <v>-14374.6</v>
      </c>
      <c r="E26" s="1095">
        <f t="shared" si="6"/>
        <v>354432</v>
      </c>
      <c r="F26" s="1092">
        <f>5463.5+229052.7</f>
        <v>234516.2</v>
      </c>
      <c r="G26" s="1092">
        <v>-483.9</v>
      </c>
      <c r="H26" s="56">
        <v>353733.7</v>
      </c>
      <c r="I26" s="56">
        <f t="shared" si="13"/>
        <v>587766</v>
      </c>
      <c r="J26" s="56">
        <f>1604+23541.4</f>
        <v>25145.4</v>
      </c>
      <c r="K26" s="1092">
        <v>1371</v>
      </c>
      <c r="L26" s="1092">
        <f t="shared" si="8"/>
        <v>26516.400000000001</v>
      </c>
      <c r="M26" s="1092">
        <f>4340+1234963.4</f>
        <v>1239303.3999999999</v>
      </c>
      <c r="N26" s="56">
        <v>94220</v>
      </c>
      <c r="O26" s="56">
        <f t="shared" si="14"/>
        <v>1333523.3999999999</v>
      </c>
      <c r="P26" s="56">
        <f t="shared" si="10"/>
        <v>1947805.7999999998</v>
      </c>
      <c r="Q26" s="56">
        <v>-305188.09999999998</v>
      </c>
      <c r="R26" s="56">
        <f t="shared" si="11"/>
        <v>1642617.6999999997</v>
      </c>
      <c r="S26" s="56">
        <f t="shared" si="12"/>
        <v>1997049.6999999997</v>
      </c>
      <c r="T26" s="394" t="s">
        <v>572</v>
      </c>
      <c r="U26" s="778"/>
      <c r="V26" s="908"/>
      <c r="W26" s="908"/>
      <c r="X26" s="908"/>
    </row>
    <row r="27" spans="1:24" s="168" customFormat="1" ht="10.35" customHeight="1">
      <c r="A27" s="413" t="s">
        <v>580</v>
      </c>
      <c r="B27" s="1091">
        <f>351964.2+13279.8</f>
        <v>365244</v>
      </c>
      <c r="C27" s="1091">
        <v>-337.6</v>
      </c>
      <c r="D27" s="1096">
        <v>-14250.7</v>
      </c>
      <c r="E27" s="1096">
        <f t="shared" si="6"/>
        <v>350655.7</v>
      </c>
      <c r="F27" s="1091">
        <f>9036.5+223024.5</f>
        <v>232061</v>
      </c>
      <c r="G27" s="1091">
        <v>-520.20000000000005</v>
      </c>
      <c r="H27" s="308">
        <v>356310.4</v>
      </c>
      <c r="I27" s="308">
        <f t="shared" si="13"/>
        <v>587851.19999999995</v>
      </c>
      <c r="J27" s="308">
        <f>1596.1+25172.5</f>
        <v>26768.6</v>
      </c>
      <c r="K27" s="1091">
        <v>1252</v>
      </c>
      <c r="L27" s="1091">
        <f t="shared" si="8"/>
        <v>28020.6</v>
      </c>
      <c r="M27" s="1091">
        <f>4336.1+1238599.2</f>
        <v>1242935.3</v>
      </c>
      <c r="N27" s="308">
        <v>94783.6</v>
      </c>
      <c r="O27" s="308">
        <f t="shared" si="14"/>
        <v>1337718.9000000001</v>
      </c>
      <c r="P27" s="308">
        <f t="shared" si="10"/>
        <v>1953590.7000000002</v>
      </c>
      <c r="Q27" s="308">
        <v>-311011.8</v>
      </c>
      <c r="R27" s="308">
        <f t="shared" si="11"/>
        <v>1642578.9000000001</v>
      </c>
      <c r="S27" s="308">
        <f t="shared" si="12"/>
        <v>1993234.6</v>
      </c>
      <c r="T27" s="370" t="s">
        <v>580</v>
      </c>
      <c r="U27" s="908"/>
      <c r="V27" s="778"/>
      <c r="W27" s="908"/>
      <c r="X27" s="908"/>
    </row>
    <row r="28" spans="1:24" s="168" customFormat="1" ht="10.35" customHeight="1">
      <c r="A28" s="399" t="s">
        <v>581</v>
      </c>
      <c r="B28" s="1092">
        <f>351813.1+10853.3</f>
        <v>362666.39999999997</v>
      </c>
      <c r="C28" s="1092">
        <v>-330.4</v>
      </c>
      <c r="D28" s="1095">
        <v>-14178.7</v>
      </c>
      <c r="E28" s="1095">
        <f t="shared" si="6"/>
        <v>348157.3</v>
      </c>
      <c r="F28" s="1092">
        <f>8058.5+223377.4</f>
        <v>231435.9</v>
      </c>
      <c r="G28" s="1092">
        <v>-591.5</v>
      </c>
      <c r="H28" s="56">
        <v>358833.3</v>
      </c>
      <c r="I28" s="56">
        <f t="shared" si="13"/>
        <v>589677.69999999995</v>
      </c>
      <c r="J28" s="56">
        <f>1597.7+24744.9</f>
        <v>26342.600000000002</v>
      </c>
      <c r="K28" s="1092">
        <v>1251.7</v>
      </c>
      <c r="L28" s="1092">
        <f t="shared" si="8"/>
        <v>27594.300000000003</v>
      </c>
      <c r="M28" s="1092">
        <f>4343.2+1251637.7</f>
        <v>1255980.8999999999</v>
      </c>
      <c r="N28" s="56">
        <v>95425</v>
      </c>
      <c r="O28" s="56">
        <f t="shared" si="14"/>
        <v>1351405.9</v>
      </c>
      <c r="P28" s="56">
        <f>I28+L28+O28</f>
        <v>1968677.9</v>
      </c>
      <c r="Q28" s="56">
        <v>-312931.8</v>
      </c>
      <c r="R28" s="56">
        <f t="shared" si="11"/>
        <v>1655746.0999999999</v>
      </c>
      <c r="S28" s="56">
        <f t="shared" si="12"/>
        <v>2003903.4</v>
      </c>
      <c r="T28" s="394" t="s">
        <v>581</v>
      </c>
      <c r="U28" s="908"/>
      <c r="V28" s="778"/>
      <c r="W28" s="908"/>
      <c r="X28" s="908"/>
    </row>
    <row r="29" spans="1:24" s="168" customFormat="1" ht="10.35" customHeight="1">
      <c r="A29" s="413" t="s">
        <v>573</v>
      </c>
      <c r="B29" s="1091">
        <f>344756+11645.3</f>
        <v>356401.3</v>
      </c>
      <c r="C29" s="1091">
        <v>-331.7</v>
      </c>
      <c r="D29" s="1096">
        <v>-14016.9</v>
      </c>
      <c r="E29" s="1096">
        <f t="shared" si="6"/>
        <v>342052.7</v>
      </c>
      <c r="F29" s="1091">
        <f>12804.3+222662.3</f>
        <v>235466.59999999998</v>
      </c>
      <c r="G29" s="1091">
        <v>-428.4</v>
      </c>
      <c r="H29" s="308">
        <v>360648.1</v>
      </c>
      <c r="I29" s="308">
        <f t="shared" si="13"/>
        <v>595686.29999999993</v>
      </c>
      <c r="J29" s="308">
        <f>1599.3+24567.3</f>
        <v>26166.6</v>
      </c>
      <c r="K29" s="1091">
        <v>1249.7</v>
      </c>
      <c r="L29" s="1091">
        <f t="shared" si="8"/>
        <v>27416.3</v>
      </c>
      <c r="M29" s="1091">
        <f>4347.2+1264053.3</f>
        <v>1268400.5</v>
      </c>
      <c r="N29" s="308">
        <v>96191.3</v>
      </c>
      <c r="O29" s="308">
        <f t="shared" si="14"/>
        <v>1364591.8</v>
      </c>
      <c r="P29" s="308">
        <f>I29+L29+O29</f>
        <v>1987694.4</v>
      </c>
      <c r="Q29" s="308">
        <v>-314673.90000000002</v>
      </c>
      <c r="R29" s="308">
        <f t="shared" si="11"/>
        <v>1673020.5</v>
      </c>
      <c r="S29" s="308">
        <f t="shared" si="12"/>
        <v>2015073.2</v>
      </c>
      <c r="T29" s="370" t="s">
        <v>573</v>
      </c>
      <c r="U29" s="908"/>
      <c r="V29" s="778"/>
      <c r="W29" s="908"/>
      <c r="X29" s="908"/>
    </row>
    <row r="30" spans="1:24" s="168" customFormat="1" ht="10.35" customHeight="1">
      <c r="A30" s="399" t="s">
        <v>582</v>
      </c>
      <c r="B30" s="509">
        <f>337440.8+13395.9</f>
        <v>350836.7</v>
      </c>
      <c r="C30" s="509">
        <v>-320.7</v>
      </c>
      <c r="D30" s="1306">
        <v>-13877.9</v>
      </c>
      <c r="E30" s="1306">
        <f t="shared" si="6"/>
        <v>336638.10000000003</v>
      </c>
      <c r="F30" s="509">
        <f>32555.3+221958.3</f>
        <v>254513.59999999998</v>
      </c>
      <c r="G30" s="509">
        <v>-489.8</v>
      </c>
      <c r="H30" s="239">
        <v>361662.7</v>
      </c>
      <c r="I30" s="239">
        <f t="shared" si="13"/>
        <v>615686.5</v>
      </c>
      <c r="J30" s="239">
        <f>1600.9+24755.5</f>
        <v>26356.400000000001</v>
      </c>
      <c r="K30" s="509">
        <v>1266.5999999999999</v>
      </c>
      <c r="L30" s="509">
        <f t="shared" si="8"/>
        <v>27623</v>
      </c>
      <c r="M30" s="509">
        <f>4380.9+1283385.6</f>
        <v>1287766.5</v>
      </c>
      <c r="N30" s="239">
        <v>97230.2</v>
      </c>
      <c r="O30" s="239">
        <f t="shared" si="14"/>
        <v>1384996.7</v>
      </c>
      <c r="P30" s="239">
        <f>I30+L30+O30</f>
        <v>2028306.2</v>
      </c>
      <c r="Q30" s="239">
        <v>-313717.3</v>
      </c>
      <c r="R30" s="239">
        <f t="shared" si="11"/>
        <v>1714588.9</v>
      </c>
      <c r="S30" s="239">
        <f t="shared" si="12"/>
        <v>2051227</v>
      </c>
      <c r="T30" s="394" t="s">
        <v>582</v>
      </c>
      <c r="U30" s="908"/>
      <c r="V30" s="778"/>
      <c r="W30" s="908"/>
      <c r="X30" s="908"/>
    </row>
    <row r="31" spans="1:24" s="168" customFormat="1" ht="10.35" customHeight="1">
      <c r="A31" s="413" t="s">
        <v>583</v>
      </c>
      <c r="B31" s="530">
        <f>343397.9+11397.9</f>
        <v>354795.80000000005</v>
      </c>
      <c r="C31" s="530">
        <v>-293.7</v>
      </c>
      <c r="D31" s="1322">
        <v>-13761.3</v>
      </c>
      <c r="E31" s="530">
        <f t="shared" si="6"/>
        <v>340740.80000000005</v>
      </c>
      <c r="F31" s="530">
        <f>28363.5+222792.2</f>
        <v>251155.7</v>
      </c>
      <c r="G31" s="530">
        <v>-486.5</v>
      </c>
      <c r="H31" s="304">
        <v>362301.4</v>
      </c>
      <c r="I31" s="304">
        <f t="shared" si="13"/>
        <v>612970.60000000009</v>
      </c>
      <c r="J31" s="304">
        <f>1602.5+25837.4</f>
        <v>27439.9</v>
      </c>
      <c r="K31" s="530">
        <v>1266.9000000000001</v>
      </c>
      <c r="L31" s="530">
        <f t="shared" si="8"/>
        <v>28706.800000000003</v>
      </c>
      <c r="M31" s="530">
        <f>4400.2+1297479.4</f>
        <v>1301879.5999999999</v>
      </c>
      <c r="N31" s="304">
        <v>97067.7</v>
      </c>
      <c r="O31" s="304">
        <f t="shared" si="14"/>
        <v>1398947.2999999998</v>
      </c>
      <c r="P31" s="304">
        <f>I31+L31+O31</f>
        <v>2040624.7</v>
      </c>
      <c r="Q31" s="304">
        <v>-329392.2</v>
      </c>
      <c r="R31" s="304">
        <f t="shared" si="11"/>
        <v>1711232.5</v>
      </c>
      <c r="S31" s="304">
        <f t="shared" si="12"/>
        <v>2051973.3</v>
      </c>
      <c r="T31" s="370" t="s">
        <v>583</v>
      </c>
      <c r="U31" s="908"/>
      <c r="V31" s="778"/>
      <c r="W31" s="908"/>
      <c r="X31" s="908"/>
    </row>
    <row r="32" spans="1:24" s="168" customFormat="1" ht="10.35" customHeight="1">
      <c r="A32" s="399" t="s">
        <v>574</v>
      </c>
      <c r="B32" s="509">
        <f>347757.7+16541.1</f>
        <v>364298.8</v>
      </c>
      <c r="C32" s="509">
        <v>-309.5</v>
      </c>
      <c r="D32" s="1306">
        <v>-13446.1</v>
      </c>
      <c r="E32" s="1306">
        <f t="shared" si="6"/>
        <v>350543.2</v>
      </c>
      <c r="F32" s="509">
        <f>54930+228359.1</f>
        <v>283289.09999999998</v>
      </c>
      <c r="G32" s="509">
        <v>-328</v>
      </c>
      <c r="H32" s="239">
        <v>364051</v>
      </c>
      <c r="I32" s="239">
        <f t="shared" si="13"/>
        <v>647012.1</v>
      </c>
      <c r="J32" s="239">
        <f>1604+26171.1</f>
        <v>27775.1</v>
      </c>
      <c r="K32" s="509">
        <v>1284.8</v>
      </c>
      <c r="L32" s="509">
        <f t="shared" si="8"/>
        <v>29059.899999999998</v>
      </c>
      <c r="M32" s="509">
        <f>4489.7+1323854.9</f>
        <v>1328344.5999999999</v>
      </c>
      <c r="N32" s="239">
        <v>97727.3</v>
      </c>
      <c r="O32" s="239">
        <f t="shared" si="14"/>
        <v>1426071.9</v>
      </c>
      <c r="P32" s="239">
        <f>I32+L32+O32</f>
        <v>2102143.9</v>
      </c>
      <c r="Q32" s="239">
        <v>-354713.8</v>
      </c>
      <c r="R32" s="239">
        <f t="shared" ref="R32:R41" si="15">P32+Q32</f>
        <v>1747430.0999999999</v>
      </c>
      <c r="S32" s="239">
        <f t="shared" ref="S32:S41" si="16">E32+R32</f>
        <v>2097973.2999999998</v>
      </c>
      <c r="T32" s="394" t="s">
        <v>574</v>
      </c>
      <c r="U32" s="908"/>
      <c r="V32" s="778"/>
      <c r="W32" s="908"/>
      <c r="X32" s="908"/>
    </row>
    <row r="33" spans="1:24" s="168" customFormat="1" ht="12" customHeight="1">
      <c r="A33" s="375" t="s">
        <v>2300</v>
      </c>
      <c r="B33" s="1094">
        <f>B45</f>
        <v>316728.3</v>
      </c>
      <c r="C33" s="1094">
        <f t="shared" ref="C33:S33" si="17">C45</f>
        <v>-226.8575237</v>
      </c>
      <c r="D33" s="1094">
        <f t="shared" si="17"/>
        <v>-11439.6</v>
      </c>
      <c r="E33" s="1094">
        <f t="shared" si="17"/>
        <v>305061.84247629996</v>
      </c>
      <c r="F33" s="1094">
        <f t="shared" si="17"/>
        <v>387321.3</v>
      </c>
      <c r="G33" s="1094">
        <f t="shared" si="17"/>
        <v>-229.44749623799999</v>
      </c>
      <c r="H33" s="1094">
        <f t="shared" si="17"/>
        <v>360755</v>
      </c>
      <c r="I33" s="1094">
        <f t="shared" si="17"/>
        <v>747846.852503762</v>
      </c>
      <c r="J33" s="1094">
        <f t="shared" si="17"/>
        <v>35683.699999999997</v>
      </c>
      <c r="K33" s="1094">
        <f t="shared" si="17"/>
        <v>1266.768873904</v>
      </c>
      <c r="L33" s="1094">
        <f t="shared" si="17"/>
        <v>36950.468873903999</v>
      </c>
      <c r="M33" s="1094">
        <f t="shared" si="17"/>
        <v>1469220.3</v>
      </c>
      <c r="N33" s="1094">
        <f t="shared" si="17"/>
        <v>100646.8</v>
      </c>
      <c r="O33" s="1094">
        <f t="shared" si="17"/>
        <v>1569867.1</v>
      </c>
      <c r="P33" s="1094">
        <f t="shared" si="17"/>
        <v>2354664.4213776663</v>
      </c>
      <c r="Q33" s="1094">
        <f t="shared" si="17"/>
        <v>-385833.7</v>
      </c>
      <c r="R33" s="1094">
        <f t="shared" si="17"/>
        <v>1968830.7213776663</v>
      </c>
      <c r="S33" s="1094">
        <f t="shared" si="17"/>
        <v>2273892.5638539661</v>
      </c>
      <c r="T33" s="376" t="s">
        <v>2300</v>
      </c>
      <c r="U33" s="908"/>
      <c r="V33" s="778"/>
      <c r="W33" s="908"/>
      <c r="X33" s="908"/>
    </row>
    <row r="34" spans="1:24" s="168" customFormat="1" ht="10.35" customHeight="1">
      <c r="A34" s="399" t="s">
        <v>576</v>
      </c>
      <c r="B34" s="509">
        <f>341807.3+15759.5</f>
        <v>357566.8</v>
      </c>
      <c r="C34" s="509">
        <v>-314.8</v>
      </c>
      <c r="D34" s="1306">
        <v>-13404.7</v>
      </c>
      <c r="E34" s="1306">
        <f t="shared" si="6"/>
        <v>343847.3</v>
      </c>
      <c r="F34" s="509">
        <f>52719.2+229028.7</f>
        <v>281747.90000000002</v>
      </c>
      <c r="G34" s="509">
        <v>-132.6</v>
      </c>
      <c r="H34" s="239">
        <v>364444.1</v>
      </c>
      <c r="I34" s="239">
        <f t="shared" si="13"/>
        <v>646059.4</v>
      </c>
      <c r="J34" s="239">
        <f>1596.1+27173.8</f>
        <v>28769.899999999998</v>
      </c>
      <c r="K34" s="509">
        <v>1285.5</v>
      </c>
      <c r="L34" s="509">
        <f t="shared" si="8"/>
        <v>30055.399999999998</v>
      </c>
      <c r="M34" s="509">
        <f>4471.5+1326399.9</f>
        <v>1330871.3999999999</v>
      </c>
      <c r="N34" s="239">
        <v>97774.6</v>
      </c>
      <c r="O34" s="239">
        <f t="shared" si="14"/>
        <v>1428646</v>
      </c>
      <c r="P34" s="239">
        <f t="shared" ref="P34:P40" si="18">I34+L34+O34</f>
        <v>2104760.7999999998</v>
      </c>
      <c r="Q34" s="239">
        <v>-349624.5</v>
      </c>
      <c r="R34" s="239">
        <f t="shared" si="15"/>
        <v>1755136.2999999998</v>
      </c>
      <c r="S34" s="239">
        <f t="shared" si="16"/>
        <v>2098983.5999999996</v>
      </c>
      <c r="T34" s="394" t="s">
        <v>576</v>
      </c>
      <c r="U34" s="908"/>
      <c r="V34" s="778"/>
      <c r="W34" s="908"/>
      <c r="X34" s="908"/>
    </row>
    <row r="35" spans="1:24" s="168" customFormat="1" ht="10.35" customHeight="1">
      <c r="A35" s="413" t="s">
        <v>577</v>
      </c>
      <c r="B35" s="530">
        <f>323765.9+16646.2</f>
        <v>340412.10000000003</v>
      </c>
      <c r="C35" s="530">
        <v>-307.7</v>
      </c>
      <c r="D35" s="1322">
        <v>-13232.5</v>
      </c>
      <c r="E35" s="1322">
        <f t="shared" si="6"/>
        <v>326871.90000000002</v>
      </c>
      <c r="F35" s="530">
        <f>61832.1+226568.9</f>
        <v>288401</v>
      </c>
      <c r="G35" s="530">
        <v>66.900000000000006</v>
      </c>
      <c r="H35" s="304">
        <v>364452.2</v>
      </c>
      <c r="I35" s="304">
        <f t="shared" si="13"/>
        <v>652920.10000000009</v>
      </c>
      <c r="J35" s="304">
        <f>1597.7+27709.3</f>
        <v>29307</v>
      </c>
      <c r="K35" s="530">
        <v>1282.9000000000001</v>
      </c>
      <c r="L35" s="530">
        <f t="shared" si="8"/>
        <v>30589.9</v>
      </c>
      <c r="M35" s="530">
        <f>4484.6+1336832.3</f>
        <v>1341316.9000000001</v>
      </c>
      <c r="N35" s="304">
        <v>98060.800000000003</v>
      </c>
      <c r="O35" s="304">
        <f t="shared" si="14"/>
        <v>1439377.7000000002</v>
      </c>
      <c r="P35" s="304">
        <f t="shared" si="18"/>
        <v>2122887.7000000002</v>
      </c>
      <c r="Q35" s="304">
        <v>-346986.6</v>
      </c>
      <c r="R35" s="304">
        <f t="shared" si="15"/>
        <v>1775901.1</v>
      </c>
      <c r="S35" s="304">
        <f t="shared" si="16"/>
        <v>2102773</v>
      </c>
      <c r="T35" s="370" t="s">
        <v>577</v>
      </c>
      <c r="U35" s="908"/>
      <c r="V35" s="778"/>
      <c r="W35" s="908"/>
      <c r="X35" s="908"/>
    </row>
    <row r="36" spans="1:24" s="168" customFormat="1" ht="10.35" customHeight="1">
      <c r="A36" s="399" t="s">
        <v>571</v>
      </c>
      <c r="B36" s="509">
        <f>319037.1+16403.7</f>
        <v>335440.8</v>
      </c>
      <c r="C36" s="509">
        <v>-323.89999999999998</v>
      </c>
      <c r="D36" s="1306">
        <v>-13061.2</v>
      </c>
      <c r="E36" s="1306">
        <f t="shared" si="6"/>
        <v>322055.7</v>
      </c>
      <c r="F36" s="509">
        <f>71663.4+220805.3</f>
        <v>292468.69999999995</v>
      </c>
      <c r="G36" s="509">
        <v>-97.3</v>
      </c>
      <c r="H36" s="239">
        <v>364381.5</v>
      </c>
      <c r="I36" s="239">
        <f t="shared" si="13"/>
        <v>656752.89999999991</v>
      </c>
      <c r="J36" s="239">
        <f>1599.3+27135.6</f>
        <v>28734.899999999998</v>
      </c>
      <c r="K36" s="509">
        <v>1285</v>
      </c>
      <c r="L36" s="509">
        <f t="shared" si="8"/>
        <v>30019.899999999998</v>
      </c>
      <c r="M36" s="509">
        <f>4499.1+1353653</f>
        <v>1358152.1</v>
      </c>
      <c r="N36" s="239">
        <v>98350.1</v>
      </c>
      <c r="O36" s="239">
        <f t="shared" si="14"/>
        <v>1456502.2000000002</v>
      </c>
      <c r="P36" s="239">
        <f t="shared" si="18"/>
        <v>2143275</v>
      </c>
      <c r="Q36" s="239">
        <v>-350497.5</v>
      </c>
      <c r="R36" s="239">
        <f t="shared" si="15"/>
        <v>1792777.5</v>
      </c>
      <c r="S36" s="239">
        <f t="shared" si="16"/>
        <v>2114833.2000000002</v>
      </c>
      <c r="T36" s="394" t="s">
        <v>571</v>
      </c>
      <c r="U36" s="908"/>
      <c r="V36" s="778"/>
      <c r="W36" s="908"/>
      <c r="X36" s="908"/>
    </row>
    <row r="37" spans="1:24" s="168" customFormat="1" ht="10.35" customHeight="1">
      <c r="A37" s="413" t="s">
        <v>578</v>
      </c>
      <c r="B37" s="530">
        <f>309740.2+16736.2</f>
        <v>326476.40000000002</v>
      </c>
      <c r="C37" s="530">
        <v>-280.2</v>
      </c>
      <c r="D37" s="1322">
        <v>-12962.1</v>
      </c>
      <c r="E37" s="1322">
        <f t="shared" si="6"/>
        <v>313234.10000000003</v>
      </c>
      <c r="F37" s="530">
        <f>83478.7+221653.6</f>
        <v>305132.3</v>
      </c>
      <c r="G37" s="530">
        <v>142.1</v>
      </c>
      <c r="H37" s="1463">
        <v>363418.4</v>
      </c>
      <c r="I37" s="304">
        <f t="shared" si="13"/>
        <v>668692.80000000005</v>
      </c>
      <c r="J37" s="304">
        <f>1600.9+27781.4</f>
        <v>29382.300000000003</v>
      </c>
      <c r="K37" s="530">
        <v>1283</v>
      </c>
      <c r="L37" s="530">
        <f t="shared" si="8"/>
        <v>30665.300000000003</v>
      </c>
      <c r="M37" s="530">
        <f>4527.5+1363929</f>
        <v>1368456.5</v>
      </c>
      <c r="N37" s="304">
        <v>99662.6</v>
      </c>
      <c r="O37" s="304">
        <f t="shared" si="14"/>
        <v>1468119.1</v>
      </c>
      <c r="P37" s="304">
        <f t="shared" si="18"/>
        <v>2167477.2000000002</v>
      </c>
      <c r="Q37" s="304">
        <v>-365896.6</v>
      </c>
      <c r="R37" s="304">
        <f t="shared" si="15"/>
        <v>1801580.6</v>
      </c>
      <c r="S37" s="304">
        <f t="shared" si="16"/>
        <v>2114814.7000000002</v>
      </c>
      <c r="T37" s="370" t="s">
        <v>578</v>
      </c>
      <c r="U37" s="908"/>
      <c r="V37" s="778"/>
      <c r="W37" s="908"/>
      <c r="X37" s="908"/>
    </row>
    <row r="38" spans="1:24" s="168" customFormat="1" ht="10.35" customHeight="1">
      <c r="A38" s="399" t="s">
        <v>579</v>
      </c>
      <c r="B38" s="509">
        <f>300465.4+18595.5</f>
        <v>319060.90000000002</v>
      </c>
      <c r="C38" s="509">
        <v>-254.1</v>
      </c>
      <c r="D38" s="1306">
        <v>-12793.4</v>
      </c>
      <c r="E38" s="1306">
        <f t="shared" si="6"/>
        <v>306013.40000000002</v>
      </c>
      <c r="F38" s="509">
        <f>91786.4+207420.4</f>
        <v>299206.8</v>
      </c>
      <c r="G38" s="509">
        <v>-63.8</v>
      </c>
      <c r="H38" s="239">
        <v>362435.1</v>
      </c>
      <c r="I38" s="239">
        <f t="shared" si="13"/>
        <v>661578.1</v>
      </c>
      <c r="J38" s="239">
        <f>1602.4+28465</f>
        <v>30067.4</v>
      </c>
      <c r="K38" s="509">
        <v>1250.5</v>
      </c>
      <c r="L38" s="509">
        <f t="shared" si="8"/>
        <v>31317.9</v>
      </c>
      <c r="M38" s="509">
        <f>4549.7+1380380</f>
        <v>1384929.7</v>
      </c>
      <c r="N38" s="239">
        <v>98293.3</v>
      </c>
      <c r="O38" s="239">
        <f t="shared" si="14"/>
        <v>1483223</v>
      </c>
      <c r="P38" s="239">
        <f t="shared" si="18"/>
        <v>2176119</v>
      </c>
      <c r="Q38" s="239">
        <v>-354216.3</v>
      </c>
      <c r="R38" s="239">
        <f t="shared" si="15"/>
        <v>1821902.7</v>
      </c>
      <c r="S38" s="239">
        <f t="shared" si="16"/>
        <v>2127916.1</v>
      </c>
      <c r="T38" s="394" t="s">
        <v>579</v>
      </c>
      <c r="U38" s="908"/>
      <c r="V38" s="778"/>
      <c r="W38" s="908"/>
      <c r="X38" s="908"/>
    </row>
    <row r="39" spans="1:24" s="168" customFormat="1" ht="10.35" customHeight="1">
      <c r="A39" s="413" t="s">
        <v>572</v>
      </c>
      <c r="B39" s="530">
        <f>297498.1+21899</f>
        <v>319397.09999999998</v>
      </c>
      <c r="C39" s="530">
        <v>-255.4</v>
      </c>
      <c r="D39" s="1322">
        <v>-12536.6</v>
      </c>
      <c r="E39" s="1322">
        <f t="shared" si="6"/>
        <v>306605.09999999998</v>
      </c>
      <c r="F39" s="530">
        <f>105344.2+188253.2</f>
        <v>293597.40000000002</v>
      </c>
      <c r="G39" s="530">
        <v>-10</v>
      </c>
      <c r="H39" s="304">
        <v>360944.2</v>
      </c>
      <c r="I39" s="304">
        <f t="shared" si="13"/>
        <v>654531.60000000009</v>
      </c>
      <c r="J39" s="304">
        <f>1604+31005.8</f>
        <v>32609.8</v>
      </c>
      <c r="K39" s="530">
        <v>1250.5</v>
      </c>
      <c r="L39" s="530">
        <f t="shared" si="8"/>
        <v>33860.300000000003</v>
      </c>
      <c r="M39" s="530">
        <f>4599+1398696.3</f>
        <v>1403295.3</v>
      </c>
      <c r="N39" s="304">
        <v>98973</v>
      </c>
      <c r="O39" s="304">
        <f t="shared" si="14"/>
        <v>1502268.3</v>
      </c>
      <c r="P39" s="304">
        <f t="shared" si="18"/>
        <v>2190660.2000000002</v>
      </c>
      <c r="Q39" s="304">
        <v>-353090.2</v>
      </c>
      <c r="R39" s="304">
        <f t="shared" si="15"/>
        <v>1837570.0000000002</v>
      </c>
      <c r="S39" s="304">
        <f t="shared" si="16"/>
        <v>2144175.1</v>
      </c>
      <c r="T39" s="370" t="s">
        <v>572</v>
      </c>
      <c r="U39" s="908"/>
      <c r="V39" s="778"/>
      <c r="W39" s="908"/>
      <c r="X39" s="908"/>
    </row>
    <row r="40" spans="1:24" s="168" customFormat="1" ht="10.35" customHeight="1">
      <c r="A40" s="399" t="s">
        <v>580</v>
      </c>
      <c r="B40" s="509">
        <f>290992.7+23312.4</f>
        <v>314305.10000000003</v>
      </c>
      <c r="C40" s="509">
        <v>-256.3</v>
      </c>
      <c r="D40" s="1306">
        <v>-12448</v>
      </c>
      <c r="E40" s="1306">
        <f t="shared" ref="E40:E52" si="19">D40+C40+B40</f>
        <v>301600.80000000005</v>
      </c>
      <c r="F40" s="509">
        <f>107439.6+196136.2</f>
        <v>303575.80000000005</v>
      </c>
      <c r="G40" s="509">
        <v>-242.6</v>
      </c>
      <c r="H40" s="239">
        <v>360981.5</v>
      </c>
      <c r="I40" s="239">
        <f t="shared" si="13"/>
        <v>664314.70000000007</v>
      </c>
      <c r="J40" s="239">
        <f>1596.1+32585.9</f>
        <v>34182</v>
      </c>
      <c r="K40" s="509">
        <v>1263.3</v>
      </c>
      <c r="L40" s="509">
        <f t="shared" si="8"/>
        <v>35445.300000000003</v>
      </c>
      <c r="M40" s="509">
        <f>4614.3+1399061.7</f>
        <v>1403676</v>
      </c>
      <c r="N40" s="239">
        <v>98611.3</v>
      </c>
      <c r="O40" s="239">
        <f t="shared" si="14"/>
        <v>1502287.3</v>
      </c>
      <c r="P40" s="239">
        <f t="shared" si="18"/>
        <v>2202047.3000000003</v>
      </c>
      <c r="Q40" s="239">
        <v>-364612.5</v>
      </c>
      <c r="R40" s="239">
        <f t="shared" si="15"/>
        <v>1837434.8000000003</v>
      </c>
      <c r="S40" s="239">
        <f t="shared" si="16"/>
        <v>2139035.6000000006</v>
      </c>
      <c r="T40" s="394" t="s">
        <v>580</v>
      </c>
      <c r="U40" s="1083"/>
      <c r="V40" s="908"/>
      <c r="W40" s="908"/>
      <c r="X40" s="908"/>
    </row>
    <row r="41" spans="1:24" s="168" customFormat="1" ht="10.35" customHeight="1">
      <c r="A41" s="413" t="s">
        <v>581</v>
      </c>
      <c r="B41" s="530">
        <f>286636.7+27639.3</f>
        <v>314276</v>
      </c>
      <c r="C41" s="530">
        <v>-248.9</v>
      </c>
      <c r="D41" s="1322">
        <v>-12265.8</v>
      </c>
      <c r="E41" s="1322">
        <f t="shared" si="19"/>
        <v>301761.3</v>
      </c>
      <c r="F41" s="530">
        <f>108685.3+201153.1</f>
        <v>309838.40000000002</v>
      </c>
      <c r="G41" s="530">
        <v>-202.8</v>
      </c>
      <c r="H41" s="304">
        <v>360541.5</v>
      </c>
      <c r="I41" s="304">
        <f>H41+G41+F41</f>
        <v>670177.10000000009</v>
      </c>
      <c r="J41" s="304">
        <f>1596.1+32268.24</f>
        <v>33864.340000000004</v>
      </c>
      <c r="K41" s="530">
        <v>1263.46</v>
      </c>
      <c r="L41" s="530">
        <f t="shared" si="8"/>
        <v>35127.800000000003</v>
      </c>
      <c r="M41" s="530">
        <f>4644.4+1406997.2</f>
        <v>1411641.5999999999</v>
      </c>
      <c r="N41" s="304">
        <v>98981.7</v>
      </c>
      <c r="O41" s="304">
        <f t="shared" si="14"/>
        <v>1510623.2999999998</v>
      </c>
      <c r="P41" s="304">
        <f>I41+L41+O41</f>
        <v>2215928.2000000002</v>
      </c>
      <c r="Q41" s="304">
        <v>-368411.4</v>
      </c>
      <c r="R41" s="304">
        <f t="shared" si="15"/>
        <v>1847516.8000000003</v>
      </c>
      <c r="S41" s="304">
        <f t="shared" si="16"/>
        <v>2149278.1</v>
      </c>
      <c r="T41" s="370" t="s">
        <v>581</v>
      </c>
      <c r="U41" s="1083"/>
      <c r="V41" s="908"/>
      <c r="W41" s="908"/>
      <c r="X41" s="908"/>
    </row>
    <row r="42" spans="1:24" s="168" customFormat="1" ht="10.35" customHeight="1">
      <c r="A42" s="399" t="s">
        <v>573</v>
      </c>
      <c r="B42" s="509">
        <f>282017.7+27064.8</f>
        <v>309082.5</v>
      </c>
      <c r="C42" s="509">
        <v>-248.99007990000001</v>
      </c>
      <c r="D42" s="1306">
        <v>-12046.4</v>
      </c>
      <c r="E42" s="1306">
        <f t="shared" si="19"/>
        <v>296787.10992010002</v>
      </c>
      <c r="F42" s="509">
        <f>111798.3+212738.1</f>
        <v>324536.40000000002</v>
      </c>
      <c r="G42" s="509">
        <v>-200.93270095899999</v>
      </c>
      <c r="H42" s="239">
        <v>359889.4</v>
      </c>
      <c r="I42" s="239">
        <f>H42+G42+F42</f>
        <v>684224.86729904101</v>
      </c>
      <c r="J42" s="239">
        <f>1599.3+33689.81</f>
        <v>35289.11</v>
      </c>
      <c r="K42" s="509">
        <v>1263.5999999999999</v>
      </c>
      <c r="L42" s="509">
        <f t="shared" si="8"/>
        <v>36552.71</v>
      </c>
      <c r="M42" s="509">
        <f>4669.4+1419041</f>
        <v>1423710.4</v>
      </c>
      <c r="N42" s="239">
        <v>99691.1</v>
      </c>
      <c r="O42" s="239">
        <f t="shared" si="14"/>
        <v>1523401.5</v>
      </c>
      <c r="P42" s="239">
        <f>I42+L42+O42</f>
        <v>2244179.0772990407</v>
      </c>
      <c r="Q42" s="239">
        <v>-377442.02</v>
      </c>
      <c r="R42" s="239">
        <f t="shared" ref="R42" si="20">P42+Q42</f>
        <v>1866737.0572990407</v>
      </c>
      <c r="S42" s="239">
        <f t="shared" ref="S42" si="21">E42+R42</f>
        <v>2163524.1672191406</v>
      </c>
      <c r="T42" s="394" t="s">
        <v>573</v>
      </c>
      <c r="U42" s="1083"/>
      <c r="V42" s="908"/>
      <c r="W42" s="908"/>
      <c r="X42" s="908"/>
    </row>
    <row r="43" spans="1:24" s="168" customFormat="1" ht="10.35" customHeight="1">
      <c r="A43" s="413" t="s">
        <v>582</v>
      </c>
      <c r="B43" s="530">
        <f>275843.6+28367</f>
        <v>304210.59999999998</v>
      </c>
      <c r="C43" s="530">
        <v>-249.78133469999997</v>
      </c>
      <c r="D43" s="1322">
        <v>-11880.7</v>
      </c>
      <c r="E43" s="1322">
        <f t="shared" si="19"/>
        <v>292080.11866529996</v>
      </c>
      <c r="F43" s="530">
        <f>136213.9+218929.1</f>
        <v>355143</v>
      </c>
      <c r="G43" s="530">
        <v>-236.88397352800007</v>
      </c>
      <c r="H43" s="304">
        <v>360471.2</v>
      </c>
      <c r="I43" s="304">
        <f>H43+G43+F43</f>
        <v>715377.31602647202</v>
      </c>
      <c r="J43" s="304">
        <f>1600.9+33129.1</f>
        <v>34730</v>
      </c>
      <c r="K43" s="530">
        <v>1265.026888483</v>
      </c>
      <c r="L43" s="530">
        <f t="shared" si="8"/>
        <v>35995.026888483</v>
      </c>
      <c r="M43" s="530">
        <f>4702.4+1429269.7</f>
        <v>1433972.0999999999</v>
      </c>
      <c r="N43" s="304">
        <v>99729.1</v>
      </c>
      <c r="O43" s="304">
        <f t="shared" ref="O43" si="22">M43+N43</f>
        <v>1533701.2</v>
      </c>
      <c r="P43" s="304">
        <f>I43+L43+O43</f>
        <v>2285073.5429149549</v>
      </c>
      <c r="Q43" s="304">
        <v>-380695.12</v>
      </c>
      <c r="R43" s="304">
        <f t="shared" ref="R43" si="23">P43+Q43</f>
        <v>1904378.4229149548</v>
      </c>
      <c r="S43" s="304">
        <f t="shared" ref="S43" si="24">E43+R43</f>
        <v>2196458.5415802547</v>
      </c>
      <c r="T43" s="370" t="s">
        <v>582</v>
      </c>
      <c r="U43" s="1083"/>
      <c r="V43" s="908"/>
      <c r="W43" s="908"/>
      <c r="X43" s="908"/>
    </row>
    <row r="44" spans="1:24" s="168" customFormat="1" ht="10.35" customHeight="1">
      <c r="A44" s="399" t="s">
        <v>583</v>
      </c>
      <c r="B44" s="509">
        <f>275075.4+25521.6</f>
        <v>300597</v>
      </c>
      <c r="C44" s="509">
        <v>-225.75629029999999</v>
      </c>
      <c r="D44" s="1306">
        <v>-11721.2</v>
      </c>
      <c r="E44" s="509">
        <f t="shared" si="19"/>
        <v>288650.0437097</v>
      </c>
      <c r="F44" s="509">
        <f>132882.4+228274</f>
        <v>361156.4</v>
      </c>
      <c r="G44" s="509">
        <v>-253.79261237199998</v>
      </c>
      <c r="H44" s="239">
        <v>361022.3</v>
      </c>
      <c r="I44" s="509">
        <f>H44+G44+F44</f>
        <v>721924.90738762799</v>
      </c>
      <c r="J44" s="239">
        <f>1602.4+33692.52</f>
        <v>35294.92</v>
      </c>
      <c r="K44" s="509">
        <v>1267.0999999999999</v>
      </c>
      <c r="L44" s="509">
        <f t="shared" si="8"/>
        <v>36562.019999999997</v>
      </c>
      <c r="M44" s="509">
        <f>4722+1440499.657</f>
        <v>1445221.6569999999</v>
      </c>
      <c r="N44" s="239">
        <v>100021.1</v>
      </c>
      <c r="O44" s="509">
        <f t="shared" ref="O44" si="25">M44+N44</f>
        <v>1545242.757</v>
      </c>
      <c r="P44" s="509">
        <f>I44+L44+O44</f>
        <v>2303729.684387628</v>
      </c>
      <c r="Q44" s="239">
        <v>-388457.95</v>
      </c>
      <c r="R44" s="509">
        <f t="shared" ref="R44" si="26">P44+Q44</f>
        <v>1915271.734387628</v>
      </c>
      <c r="S44" s="509">
        <f t="shared" ref="S44" si="27">E44+R44</f>
        <v>2203921.7780973278</v>
      </c>
      <c r="T44" s="394" t="s">
        <v>583</v>
      </c>
      <c r="U44" s="1083"/>
      <c r="V44" s="908"/>
      <c r="W44" s="908"/>
      <c r="X44" s="908"/>
    </row>
    <row r="45" spans="1:24" s="168" customFormat="1" ht="10.35" customHeight="1">
      <c r="A45" s="413" t="s">
        <v>574</v>
      </c>
      <c r="B45" s="530">
        <f>287497.5+29230.8</f>
        <v>316728.3</v>
      </c>
      <c r="C45" s="530">
        <v>-226.8575237</v>
      </c>
      <c r="D45" s="1322">
        <v>-11439.6</v>
      </c>
      <c r="E45" s="1322">
        <f t="shared" si="19"/>
        <v>305061.84247629996</v>
      </c>
      <c r="F45" s="530">
        <f>157411.9+229909.4</f>
        <v>387321.3</v>
      </c>
      <c r="G45" s="530">
        <v>-229.44749623799999</v>
      </c>
      <c r="H45" s="304">
        <v>360755</v>
      </c>
      <c r="I45" s="304">
        <f>H45+G45+F45</f>
        <v>747846.852503762</v>
      </c>
      <c r="J45" s="304">
        <f>1604+34079.7</f>
        <v>35683.699999999997</v>
      </c>
      <c r="K45" s="530">
        <v>1266.768873904</v>
      </c>
      <c r="L45" s="530">
        <f t="shared" si="8"/>
        <v>36950.468873903999</v>
      </c>
      <c r="M45" s="530">
        <f>4809.1+1464411.2</f>
        <v>1469220.3</v>
      </c>
      <c r="N45" s="304">
        <v>100646.8</v>
      </c>
      <c r="O45" s="304">
        <f t="shared" ref="O45:O47" si="28">M45+N45</f>
        <v>1569867.1</v>
      </c>
      <c r="P45" s="304">
        <f>I45+L45+O45</f>
        <v>2354664.4213776663</v>
      </c>
      <c r="Q45" s="304">
        <v>-385833.7</v>
      </c>
      <c r="R45" s="304">
        <f t="shared" ref="R45" si="29">P45+Q45</f>
        <v>1968830.7213776663</v>
      </c>
      <c r="S45" s="304">
        <f t="shared" ref="S45" si="30">E45+R45</f>
        <v>2273892.5638539661</v>
      </c>
      <c r="T45" s="370" t="s">
        <v>574</v>
      </c>
      <c r="U45" s="1083"/>
      <c r="V45" s="908"/>
      <c r="W45" s="908"/>
      <c r="X45" s="908"/>
    </row>
    <row r="46" spans="1:24" s="168" customFormat="1" ht="11.25" customHeight="1">
      <c r="A46" s="936" t="s">
        <v>2514</v>
      </c>
      <c r="B46" s="509"/>
      <c r="C46" s="509"/>
      <c r="D46" s="1306"/>
      <c r="E46" s="1306"/>
      <c r="F46" s="509"/>
      <c r="G46" s="509"/>
      <c r="H46" s="239"/>
      <c r="I46" s="239"/>
      <c r="J46" s="239"/>
      <c r="K46" s="509"/>
      <c r="L46" s="509"/>
      <c r="M46" s="509"/>
      <c r="N46" s="239"/>
      <c r="O46" s="239"/>
      <c r="P46" s="239"/>
      <c r="Q46" s="239"/>
      <c r="R46" s="239"/>
      <c r="S46" s="239"/>
      <c r="T46" s="377" t="s">
        <v>2514</v>
      </c>
      <c r="U46" s="908"/>
      <c r="V46" s="908"/>
      <c r="W46" s="908"/>
      <c r="X46" s="908"/>
    </row>
    <row r="47" spans="1:24" s="168" customFormat="1" ht="10.35" customHeight="1">
      <c r="A47" s="413" t="s">
        <v>576</v>
      </c>
      <c r="B47" s="530">
        <f>284091+35034.6</f>
        <v>319125.59999999998</v>
      </c>
      <c r="C47" s="530">
        <v>-227.6</v>
      </c>
      <c r="D47" s="1322">
        <v>-11278.3</v>
      </c>
      <c r="E47" s="1322">
        <f t="shared" si="19"/>
        <v>307619.69999999995</v>
      </c>
      <c r="F47" s="1322">
        <f>147689+241984.8</f>
        <v>389673.8</v>
      </c>
      <c r="G47" s="1322">
        <v>-163.98</v>
      </c>
      <c r="H47" s="1322">
        <v>360407.5</v>
      </c>
      <c r="I47" s="1322">
        <f t="shared" ref="I47:I52" si="31">H47+G47+F47</f>
        <v>749917.32000000007</v>
      </c>
      <c r="J47" s="1322">
        <f>1596.1+34140.75</f>
        <v>35736.85</v>
      </c>
      <c r="K47" s="1322">
        <v>1266.8</v>
      </c>
      <c r="L47" s="1322">
        <f t="shared" si="8"/>
        <v>37003.65</v>
      </c>
      <c r="M47" s="1322">
        <f>4775.6+1456170.2</f>
        <v>1460945.8</v>
      </c>
      <c r="N47" s="1322">
        <v>100074.9</v>
      </c>
      <c r="O47" s="1322">
        <f t="shared" si="28"/>
        <v>1561020.7</v>
      </c>
      <c r="P47" s="1322">
        <f t="shared" ref="P47:P52" si="32">I47+L47+O47</f>
        <v>2347941.67</v>
      </c>
      <c r="Q47" s="1322">
        <v>-394097.4</v>
      </c>
      <c r="R47" s="1322">
        <f t="shared" ref="R47" si="33">P47+Q47</f>
        <v>1953844.27</v>
      </c>
      <c r="S47" s="1322">
        <f t="shared" ref="S47" si="34">E47+R47</f>
        <v>2261463.9699999997</v>
      </c>
      <c r="T47" s="370" t="s">
        <v>576</v>
      </c>
      <c r="U47" s="1083"/>
      <c r="V47" s="778"/>
      <c r="W47" s="778"/>
      <c r="X47" s="908"/>
    </row>
    <row r="48" spans="1:24" s="168" customFormat="1" ht="10.35" customHeight="1">
      <c r="A48" s="399" t="s">
        <v>577</v>
      </c>
      <c r="B48" s="509">
        <f>272944.3+33275.2</f>
        <v>306219.5</v>
      </c>
      <c r="C48" s="509">
        <v>-220.31941029999999</v>
      </c>
      <c r="D48" s="1306">
        <v>-11189.1</v>
      </c>
      <c r="E48" s="1306">
        <f t="shared" si="19"/>
        <v>294810.08058970002</v>
      </c>
      <c r="F48" s="1306">
        <f>135934.2+245916.6</f>
        <v>381850.80000000005</v>
      </c>
      <c r="G48" s="1306">
        <v>-184.07404976500004</v>
      </c>
      <c r="H48" s="1306">
        <v>359637.9</v>
      </c>
      <c r="I48" s="1306">
        <f t="shared" si="31"/>
        <v>741304.62595023506</v>
      </c>
      <c r="J48" s="1306">
        <f>1597.7+34525.4</f>
        <v>36123.1</v>
      </c>
      <c r="K48" s="1306">
        <v>1201.1955113040001</v>
      </c>
      <c r="L48" s="1306">
        <f>J48+K48</f>
        <v>37324.295511304001</v>
      </c>
      <c r="M48" s="1306">
        <f>4773.9+1466107.5</f>
        <v>1470881.4</v>
      </c>
      <c r="N48" s="1306">
        <v>100282.02499999999</v>
      </c>
      <c r="O48" s="1306">
        <f t="shared" ref="O48:O49" si="35">M48+N48</f>
        <v>1571163.4249999998</v>
      </c>
      <c r="P48" s="1306">
        <f t="shared" si="32"/>
        <v>2349792.3464615392</v>
      </c>
      <c r="Q48" s="1306">
        <v>-380193.68900000001</v>
      </c>
      <c r="R48" s="1306">
        <f t="shared" ref="R48:R49" si="36">P48+Q48</f>
        <v>1969598.6574615391</v>
      </c>
      <c r="S48" s="1306">
        <f t="shared" ref="S48:S49" si="37">E48+R48</f>
        <v>2264408.7380512394</v>
      </c>
      <c r="T48" s="394" t="s">
        <v>577</v>
      </c>
      <c r="U48" s="1083"/>
      <c r="V48" s="778"/>
      <c r="W48" s="778"/>
      <c r="X48" s="908"/>
    </row>
    <row r="49" spans="1:24" s="168" customFormat="1" ht="10.35" customHeight="1">
      <c r="A49" s="413" t="s">
        <v>571</v>
      </c>
      <c r="B49" s="530">
        <f>258978.5+34340.5</f>
        <v>293319</v>
      </c>
      <c r="C49" s="530">
        <v>-203.0471393</v>
      </c>
      <c r="D49" s="1322">
        <v>-11121.1</v>
      </c>
      <c r="E49" s="1322">
        <f t="shared" si="19"/>
        <v>281994.85286069999</v>
      </c>
      <c r="F49" s="1322">
        <f>129039.7+241855.5</f>
        <v>370895.2</v>
      </c>
      <c r="G49" s="1322">
        <v>-156.70200486300007</v>
      </c>
      <c r="H49" s="1322">
        <v>359490.1</v>
      </c>
      <c r="I49" s="1322">
        <f t="shared" si="31"/>
        <v>730228.59799513698</v>
      </c>
      <c r="J49" s="1322">
        <f>1599.3+35456.57</f>
        <v>37055.870000000003</v>
      </c>
      <c r="K49" s="1322">
        <v>1201.19</v>
      </c>
      <c r="L49" s="1322">
        <f>J49+K49</f>
        <v>38257.060000000005</v>
      </c>
      <c r="M49" s="1322">
        <f>4771.3+1484269.14</f>
        <v>1489040.44</v>
      </c>
      <c r="N49" s="1322">
        <v>100486.64</v>
      </c>
      <c r="O49" s="1322">
        <f t="shared" si="35"/>
        <v>1589527.0799999998</v>
      </c>
      <c r="P49" s="1322">
        <f t="shared" si="32"/>
        <v>2358012.737995137</v>
      </c>
      <c r="Q49" s="1322">
        <v>-375674.83</v>
      </c>
      <c r="R49" s="1322">
        <f t="shared" si="36"/>
        <v>1982337.9079951369</v>
      </c>
      <c r="S49" s="1322">
        <f t="shared" si="37"/>
        <v>2264332.7608558368</v>
      </c>
      <c r="T49" s="370" t="s">
        <v>571</v>
      </c>
      <c r="U49" s="1083"/>
      <c r="V49" s="778"/>
      <c r="W49" s="778"/>
      <c r="X49" s="908"/>
    </row>
    <row r="50" spans="1:24" s="168" customFormat="1" ht="10.35" customHeight="1">
      <c r="A50" s="399" t="s">
        <v>578</v>
      </c>
      <c r="B50" s="509">
        <f>248074.3+33026.98</f>
        <v>281101.27999999997</v>
      </c>
      <c r="C50" s="509">
        <v>-203.63114350000001</v>
      </c>
      <c r="D50" s="1306">
        <v>-10924.4</v>
      </c>
      <c r="E50" s="509">
        <f t="shared" si="19"/>
        <v>269973.24885649997</v>
      </c>
      <c r="F50" s="509">
        <f>127546.1+240756.7</f>
        <v>368302.80000000005</v>
      </c>
      <c r="G50" s="509">
        <v>238.61182724</v>
      </c>
      <c r="H50" s="509">
        <v>358450</v>
      </c>
      <c r="I50" s="509">
        <f t="shared" si="31"/>
        <v>726991.41182724002</v>
      </c>
      <c r="J50" s="509">
        <f>1600.9+35662.04</f>
        <v>37262.94</v>
      </c>
      <c r="K50" s="509">
        <v>1198.2818063240002</v>
      </c>
      <c r="L50" s="509">
        <f>J50+K50</f>
        <v>38461.221806324</v>
      </c>
      <c r="M50" s="509">
        <f>4794.1+1499572.2</f>
        <v>1504366.3</v>
      </c>
      <c r="N50" s="509">
        <v>100674.22</v>
      </c>
      <c r="O50" s="509">
        <f t="shared" ref="O50" si="38">M50+N50</f>
        <v>1605040.52</v>
      </c>
      <c r="P50" s="509">
        <f t="shared" si="32"/>
        <v>2370493.1536335638</v>
      </c>
      <c r="Q50" s="509">
        <v>-371525.36681668402</v>
      </c>
      <c r="R50" s="509">
        <f t="shared" ref="R50" si="39">P50+Q50</f>
        <v>1998967.7868168796</v>
      </c>
      <c r="S50" s="509">
        <f t="shared" ref="S50" si="40">E50+R50</f>
        <v>2268941.0356733794</v>
      </c>
      <c r="T50" s="394" t="s">
        <v>578</v>
      </c>
      <c r="U50" s="1083"/>
      <c r="V50" s="778"/>
      <c r="W50" s="778"/>
      <c r="X50" s="908"/>
    </row>
    <row r="51" spans="1:24" s="168" customFormat="1" ht="10.35" customHeight="1">
      <c r="A51" s="413" t="s">
        <v>579</v>
      </c>
      <c r="B51" s="1820">
        <f>235600.5+30070.8</f>
        <v>265671.3</v>
      </c>
      <c r="C51" s="530">
        <v>-198.6</v>
      </c>
      <c r="D51" s="530">
        <v>-10724</v>
      </c>
      <c r="E51" s="530">
        <f t="shared" si="19"/>
        <v>254748.69999999998</v>
      </c>
      <c r="F51" s="530">
        <f>132232.7+231727.3</f>
        <v>363960</v>
      </c>
      <c r="G51" s="530">
        <v>431.03541259300005</v>
      </c>
      <c r="H51" s="530">
        <v>356896.1</v>
      </c>
      <c r="I51" s="530">
        <f t="shared" si="31"/>
        <v>721287.13541259291</v>
      </c>
      <c r="J51" s="530">
        <f>1602.2+36549</f>
        <v>38151.199999999997</v>
      </c>
      <c r="K51" s="530">
        <v>1198.334490124</v>
      </c>
      <c r="L51" s="530">
        <f>J51+K51</f>
        <v>39349.534490123995</v>
      </c>
      <c r="M51" s="530">
        <f>4833.3+1517356.73</f>
        <v>1522190.03</v>
      </c>
      <c r="N51" s="530">
        <v>100979.78752896401</v>
      </c>
      <c r="O51" s="530">
        <f t="shared" ref="O51:O52" si="41">M51+N51</f>
        <v>1623169.817528964</v>
      </c>
      <c r="P51" s="530">
        <f t="shared" si="32"/>
        <v>2383806.4874316808</v>
      </c>
      <c r="Q51" s="530">
        <v>-362685.61664270901</v>
      </c>
      <c r="R51" s="530">
        <f t="shared" ref="R51" si="42">P51+Q51</f>
        <v>2021120.8707889719</v>
      </c>
      <c r="S51" s="530">
        <f t="shared" ref="S51" si="43">E51+R51</f>
        <v>2275869.5707889721</v>
      </c>
      <c r="T51" s="370" t="s">
        <v>579</v>
      </c>
      <c r="U51" s="1083"/>
      <c r="V51" s="778"/>
      <c r="W51" s="778"/>
      <c r="X51" s="908"/>
    </row>
    <row r="52" spans="1:24" s="168" customFormat="1" ht="10.35" customHeight="1" thickBot="1">
      <c r="A52" s="1270" t="s">
        <v>572</v>
      </c>
      <c r="B52" s="1252">
        <f>248198.9+29264.9</f>
        <v>277463.8</v>
      </c>
      <c r="C52" s="1821">
        <v>-199.59068910000002</v>
      </c>
      <c r="D52" s="1821">
        <v>-10469.799999999999</v>
      </c>
      <c r="E52" s="1821">
        <f t="shared" si="19"/>
        <v>266794.40931089997</v>
      </c>
      <c r="F52" s="1821">
        <f>126706.8+224924.6</f>
        <v>351631.4</v>
      </c>
      <c r="G52" s="1821">
        <v>879.2</v>
      </c>
      <c r="H52" s="1821">
        <v>354691.8</v>
      </c>
      <c r="I52" s="1821">
        <f t="shared" si="31"/>
        <v>707202.4</v>
      </c>
      <c r="J52" s="1821">
        <f>1603.8+37708.41</f>
        <v>39312.210000000006</v>
      </c>
      <c r="K52" s="1821">
        <v>1198.334490124</v>
      </c>
      <c r="L52" s="1821">
        <f>J52+K52</f>
        <v>40510.544490124004</v>
      </c>
      <c r="M52" s="1821">
        <f>4921.7+1541511.6</f>
        <v>1546433.3</v>
      </c>
      <c r="N52" s="1821">
        <v>101593.58900170801</v>
      </c>
      <c r="O52" s="1821">
        <f t="shared" si="41"/>
        <v>1648026.889001708</v>
      </c>
      <c r="P52" s="1821">
        <f t="shared" si="32"/>
        <v>2395739.833491832</v>
      </c>
      <c r="Q52" s="1821">
        <v>-368225.65530089702</v>
      </c>
      <c r="R52" s="1821">
        <f t="shared" ref="R52" si="44">P52+Q52</f>
        <v>2027514.1781909349</v>
      </c>
      <c r="S52" s="1821">
        <f t="shared" ref="S52" si="45">E52+R52</f>
        <v>2294308.5875018351</v>
      </c>
      <c r="T52" s="1718" t="s">
        <v>572</v>
      </c>
      <c r="U52" s="1083"/>
      <c r="V52" s="778"/>
      <c r="W52" s="778"/>
      <c r="X52" s="908"/>
    </row>
    <row r="53" spans="1:24" ht="10.5" customHeight="1">
      <c r="A53" s="196" t="s">
        <v>1428</v>
      </c>
      <c r="B53" s="2033" t="s">
        <v>1299</v>
      </c>
      <c r="C53" s="2033"/>
      <c r="D53" s="2033"/>
      <c r="E53" s="2033"/>
      <c r="F53" s="2033"/>
      <c r="G53" s="274"/>
      <c r="H53" s="1413" t="s">
        <v>1390</v>
      </c>
      <c r="I53" s="836"/>
      <c r="J53" s="891"/>
      <c r="K53" s="891"/>
      <c r="L53" s="891"/>
      <c r="M53" s="195" t="s">
        <v>214</v>
      </c>
      <c r="N53" s="2051" t="s">
        <v>1419</v>
      </c>
      <c r="O53" s="2051"/>
      <c r="P53" s="2051"/>
      <c r="Q53" s="2051"/>
      <c r="R53" s="2051"/>
      <c r="S53" s="2051"/>
      <c r="T53" s="2051"/>
      <c r="U53" s="1083"/>
      <c r="V53" s="861"/>
      <c r="W53" s="908"/>
      <c r="X53" s="861"/>
    </row>
    <row r="54" spans="1:24" ht="9" customHeight="1">
      <c r="B54" s="861"/>
      <c r="C54" s="861"/>
      <c r="D54" s="1232"/>
      <c r="E54" s="891"/>
      <c r="F54" s="1669"/>
      <c r="G54" s="554"/>
      <c r="H54" s="1672"/>
      <c r="I54" s="1307"/>
      <c r="J54" s="1308"/>
      <c r="K54" s="1308"/>
      <c r="L54" s="1308"/>
      <c r="M54" s="547"/>
      <c r="N54" s="2016" t="s">
        <v>1464</v>
      </c>
      <c r="O54" s="2016"/>
      <c r="P54" s="2016"/>
      <c r="Q54" s="2016"/>
      <c r="R54" s="2016"/>
      <c r="S54" s="2016"/>
      <c r="T54" s="2016"/>
      <c r="U54" s="1083"/>
      <c r="V54" s="861"/>
      <c r="W54" s="861"/>
      <c r="X54" s="861"/>
    </row>
    <row r="55" spans="1:24" ht="9" customHeight="1">
      <c r="B55" s="894"/>
      <c r="C55" s="861"/>
      <c r="D55" s="181"/>
      <c r="E55" s="554"/>
      <c r="F55" s="1521"/>
      <c r="G55" s="1522"/>
      <c r="H55" s="1465"/>
      <c r="I55" s="1673"/>
      <c r="J55" s="1719"/>
      <c r="K55" s="1719"/>
      <c r="L55" s="1309"/>
      <c r="N55" s="1019" t="s">
        <v>1376</v>
      </c>
      <c r="O55" s="661"/>
      <c r="P55" s="661"/>
      <c r="Q55" s="274" t="s">
        <v>1375</v>
      </c>
      <c r="R55" s="661"/>
      <c r="S55" s="661"/>
      <c r="T55" s="1246"/>
      <c r="U55" s="861"/>
      <c r="V55" s="861"/>
      <c r="W55" s="861"/>
      <c r="X55" s="861"/>
    </row>
    <row r="56" spans="1:24" ht="8.25" customHeight="1">
      <c r="B56" s="894"/>
      <c r="C56" s="861"/>
      <c r="D56" s="861"/>
      <c r="E56" s="554"/>
      <c r="F56" s="1521"/>
      <c r="G56" s="1522"/>
      <c r="H56" s="1466"/>
      <c r="I56" s="1673"/>
      <c r="J56" s="1309"/>
      <c r="K56" s="1309"/>
      <c r="L56" s="1309"/>
      <c r="M56" s="196" t="s">
        <v>215</v>
      </c>
      <c r="N56" s="2033" t="s">
        <v>1299</v>
      </c>
      <c r="O56" s="2033"/>
      <c r="P56" s="2033"/>
      <c r="Q56" s="2033"/>
      <c r="R56" s="2033"/>
      <c r="S56" s="2033"/>
      <c r="T56" s="2033"/>
      <c r="U56" s="181"/>
      <c r="V56" s="861"/>
      <c r="W56" s="861"/>
      <c r="X56" s="861"/>
    </row>
    <row r="57" spans="1:24" ht="12" customHeight="1">
      <c r="B57" s="644"/>
      <c r="C57" s="181"/>
      <c r="D57" s="1276"/>
      <c r="E57" s="1276"/>
      <c r="F57" s="1521"/>
      <c r="G57" s="1522"/>
      <c r="H57" s="1466"/>
      <c r="I57" s="181"/>
      <c r="J57" s="1309"/>
      <c r="K57" s="900"/>
      <c r="M57" s="505"/>
      <c r="N57" s="505"/>
      <c r="O57" s="505"/>
      <c r="P57" s="861"/>
      <c r="Q57" s="181"/>
      <c r="R57" s="181"/>
      <c r="S57" s="181"/>
      <c r="T57" s="862"/>
      <c r="U57" s="181"/>
      <c r="V57" s="861"/>
      <c r="X57" s="861"/>
    </row>
    <row r="58" spans="1:24" ht="12" customHeight="1">
      <c r="B58" s="644"/>
      <c r="C58" s="181"/>
      <c r="D58" s="181"/>
      <c r="E58" s="554"/>
      <c r="F58" s="181"/>
      <c r="G58" s="1522"/>
      <c r="H58" s="181"/>
      <c r="I58" s="1523"/>
      <c r="J58" s="1309"/>
      <c r="L58" s="181"/>
      <c r="M58" s="505"/>
      <c r="N58" s="505"/>
      <c r="O58" s="505"/>
      <c r="P58" s="181"/>
      <c r="Q58" s="181"/>
      <c r="R58" s="181"/>
      <c r="S58" s="181"/>
      <c r="T58" s="862"/>
      <c r="U58" s="181"/>
    </row>
    <row r="59" spans="1:24" ht="9.75" customHeight="1">
      <c r="B59" s="644"/>
      <c r="C59" s="181"/>
      <c r="D59" s="181"/>
      <c r="E59" s="554"/>
      <c r="F59" s="181"/>
      <c r="G59" s="1522"/>
      <c r="H59" s="181"/>
      <c r="I59" s="181"/>
      <c r="J59" s="181"/>
      <c r="K59" s="181"/>
      <c r="L59" s="181"/>
      <c r="M59" s="181"/>
      <c r="N59" s="181"/>
      <c r="P59" s="181"/>
      <c r="Q59" s="181"/>
      <c r="R59" s="181"/>
      <c r="S59" s="181"/>
      <c r="T59" s="862"/>
    </row>
    <row r="60" spans="1:24">
      <c r="B60" s="1671"/>
      <c r="C60" s="1671"/>
      <c r="D60" s="1671"/>
      <c r="E60" s="554"/>
      <c r="F60" s="181"/>
      <c r="G60" s="1522"/>
      <c r="H60" s="181"/>
      <c r="I60" s="1523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</row>
    <row r="61" spans="1:24">
      <c r="B61" s="181"/>
      <c r="C61" s="181"/>
      <c r="D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</row>
    <row r="62" spans="1:24">
      <c r="B62" s="181"/>
      <c r="C62" s="181"/>
      <c r="D62" s="181"/>
      <c r="Q62" s="861"/>
      <c r="R62" s="181"/>
      <c r="S62" s="181"/>
    </row>
    <row r="63" spans="1:24">
      <c r="B63" s="181"/>
      <c r="C63" s="181"/>
      <c r="D63" s="181"/>
      <c r="M63" s="181"/>
      <c r="N63" s="181"/>
      <c r="O63" s="181"/>
      <c r="P63" s="181"/>
    </row>
    <row r="64" spans="1:24"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</row>
    <row r="65" spans="2:20"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</row>
    <row r="66" spans="2:20"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</row>
    <row r="67" spans="2:20"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</row>
    <row r="68" spans="2:20">
      <c r="B68" s="181"/>
      <c r="C68" s="181"/>
      <c r="D68" s="181"/>
    </row>
    <row r="69" spans="2:20">
      <c r="B69" s="181"/>
      <c r="C69" s="181"/>
      <c r="D69" s="181"/>
    </row>
    <row r="70" spans="2:20"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</row>
    <row r="71" spans="2:20"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</row>
    <row r="72" spans="2:20"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</row>
    <row r="73" spans="2:20"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</row>
    <row r="74" spans="2:20"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</row>
    <row r="75" spans="2:20"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</row>
    <row r="76" spans="2:20"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</row>
    <row r="77" spans="2:20"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</row>
    <row r="78" spans="2:20"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</row>
    <row r="79" spans="2:20"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</row>
    <row r="80" spans="2:20"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6:T56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3:T53"/>
    <mergeCell ref="T3:T7"/>
    <mergeCell ref="P4:P6"/>
    <mergeCell ref="O5:O6"/>
    <mergeCell ref="R3:R6"/>
    <mergeCell ref="C4:C6"/>
    <mergeCell ref="B4:B6"/>
    <mergeCell ref="B53:F53"/>
    <mergeCell ref="N54:T54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B51 C8:S52">
    <cfRule type="expression" dxfId="4" priority="83" stopIfTrue="1">
      <formula>MOD(ROW(),2)=1</formula>
    </cfRule>
  </conditionalFormatting>
  <conditionalFormatting sqref="T13:T16 A13:A16">
    <cfRule type="expression" dxfId="3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conditionalFormatting sqref="B49:S49">
    <cfRule type="expression" dxfId="2" priority="1" stopIfTrue="1">
      <formula>MOD(ROW(),2)=1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2024-02-27T05:09:11Z</cp:lastPrinted>
  <dcterms:created xsi:type="dcterms:W3CDTF">2007-04-10T13:42:14Z</dcterms:created>
  <dcterms:modified xsi:type="dcterms:W3CDTF">2024-02-28T05:14:19Z</dcterms:modified>
</cp:coreProperties>
</file>