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IB'!$C$1:$C$73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IB'!$C$1:$C$73</definedName>
    <definedName name="Z_A374FC54_96E3_45F0_9C12_8450400C12DF_.wvu.Rows" localSheetId="14" hidden="1">'Table V'!$37:$44</definedName>
    <definedName name="Z_A374FC54_96E3_45F0_9C12_8450400C12DF_.wvu.Rows" localSheetId="33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Y49" i="1"/>
  <c r="AY48"/>
  <c r="AY46"/>
  <c r="AY20"/>
  <c r="AX42"/>
  <c r="AX46"/>
  <c r="AX49"/>
  <c r="BA47"/>
  <c r="AY47"/>
  <c r="AY45"/>
  <c r="AY33"/>
  <c r="AY34"/>
  <c r="AY35"/>
  <c r="AY36"/>
  <c r="AY37"/>
  <c r="AY38"/>
  <c r="AY39"/>
  <c r="AY40"/>
  <c r="AY41"/>
  <c r="AY42"/>
  <c r="AY43"/>
  <c r="AY32"/>
  <c r="AY21"/>
  <c r="AY22"/>
  <c r="AY23"/>
  <c r="AY24"/>
  <c r="AY25"/>
  <c r="AY26"/>
  <c r="AY27"/>
  <c r="AY28"/>
  <c r="AY29"/>
  <c r="AY30"/>
  <c r="AY19"/>
  <c r="K48" i="36" l="1"/>
  <c r="I48"/>
  <c r="F48"/>
  <c r="S50" i="5"/>
  <c r="R50"/>
  <c r="O50"/>
  <c r="P50" s="1"/>
  <c r="M50"/>
  <c r="L50"/>
  <c r="J50"/>
  <c r="I50"/>
  <c r="F50"/>
  <c r="E50"/>
  <c r="B50"/>
  <c r="B49"/>
  <c r="B48"/>
  <c r="K48" i="35"/>
  <c r="I48"/>
  <c r="F48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P48" i="41"/>
  <c r="Q48" s="1"/>
  <c r="Q47"/>
  <c r="P47"/>
  <c r="Q46"/>
  <c r="P46"/>
  <c r="P45"/>
  <c r="Q45" s="1"/>
  <c r="Q44"/>
  <c r="P44"/>
  <c r="Q43"/>
  <c r="P43"/>
  <c r="P41"/>
  <c r="Q41" s="1"/>
  <c r="Q29" s="1"/>
  <c r="Q40"/>
  <c r="P40"/>
  <c r="Q39"/>
  <c r="P39"/>
  <c r="P38"/>
  <c r="Q38" s="1"/>
  <c r="Q37"/>
  <c r="P37"/>
  <c r="Q36"/>
  <c r="P36"/>
  <c r="P35"/>
  <c r="Q35" s="1"/>
  <c r="Q34"/>
  <c r="P34"/>
  <c r="Q33"/>
  <c r="P33"/>
  <c r="P32"/>
  <c r="Q32" s="1"/>
  <c r="Q31"/>
  <c r="P31"/>
  <c r="Q30"/>
  <c r="P30"/>
  <c r="P29"/>
  <c r="O29"/>
  <c r="N29"/>
  <c r="M29"/>
  <c r="L29"/>
  <c r="K29"/>
  <c r="J29"/>
  <c r="I29"/>
  <c r="H29"/>
  <c r="G29"/>
  <c r="F29"/>
  <c r="E29"/>
  <c r="D29"/>
  <c r="C29"/>
  <c r="B29"/>
  <c r="Q28"/>
  <c r="P28"/>
  <c r="P27"/>
  <c r="Q27" s="1"/>
  <c r="Q26"/>
  <c r="P26"/>
  <c r="Q25"/>
  <c r="P25"/>
  <c r="P23"/>
  <c r="Q23" s="1"/>
  <c r="Q22"/>
  <c r="P22"/>
  <c r="Q21"/>
  <c r="P21"/>
  <c r="P20"/>
  <c r="Q20" s="1"/>
  <c r="Q19"/>
  <c r="P19"/>
  <c r="Q18"/>
  <c r="P18"/>
  <c r="P17"/>
  <c r="Q17" s="1"/>
  <c r="Q16"/>
  <c r="P16"/>
  <c r="O16"/>
  <c r="N16"/>
  <c r="M16"/>
  <c r="L16"/>
  <c r="K16"/>
  <c r="J16"/>
  <c r="I16"/>
  <c r="H16"/>
  <c r="G16"/>
  <c r="F16"/>
  <c r="E16"/>
  <c r="D16"/>
  <c r="C16"/>
  <c r="B16"/>
  <c r="D45" i="40"/>
  <c r="E44"/>
  <c r="D44"/>
  <c r="E43"/>
  <c r="D43"/>
  <c r="E42"/>
  <c r="D42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C28"/>
  <c r="B28"/>
  <c r="E27"/>
  <c r="D27"/>
  <c r="E26"/>
  <c r="D26"/>
  <c r="E25"/>
  <c r="D25"/>
  <c r="E24"/>
  <c r="D24"/>
  <c r="E23"/>
  <c r="D23"/>
  <c r="E22"/>
  <c r="D22"/>
  <c r="E21"/>
  <c r="D21"/>
  <c r="E15"/>
  <c r="D15"/>
  <c r="C15"/>
  <c r="B15"/>
  <c r="I14"/>
  <c r="I15" s="1"/>
  <c r="I16" s="1"/>
  <c r="I17" s="1"/>
  <c r="I18" s="1"/>
  <c r="I19" s="1"/>
  <c r="I20" s="1"/>
  <c r="I21" s="1"/>
  <c r="I22" s="1"/>
  <c r="I23" s="1"/>
  <c r="J11"/>
  <c r="J12" s="1"/>
  <c r="J13" s="1"/>
  <c r="J14" s="1"/>
  <c r="J15" s="1"/>
  <c r="J16" s="1"/>
  <c r="J17" s="1"/>
  <c r="J18" s="1"/>
  <c r="J19" s="1"/>
  <c r="J20" s="1"/>
  <c r="J21" s="1"/>
  <c r="J22" s="1"/>
  <c r="J23" s="1"/>
  <c r="I11"/>
  <c r="J10"/>
  <c r="I10"/>
  <c r="I9"/>
  <c r="I8"/>
  <c r="I7"/>
  <c r="J6"/>
  <c r="I6"/>
  <c r="J5"/>
  <c r="I5"/>
  <c r="I4"/>
  <c r="I12" s="1"/>
  <c r="I13" s="1"/>
  <c r="H30" i="13"/>
  <c r="G30"/>
  <c r="F30"/>
  <c r="E30"/>
  <c r="D30"/>
  <c r="C30"/>
  <c r="B30"/>
  <c r="H17"/>
  <c r="G17"/>
  <c r="F17"/>
  <c r="E17"/>
  <c r="D17"/>
  <c r="C17"/>
  <c r="B17"/>
  <c r="N29" i="10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AZ49" i="1" l="1"/>
  <c r="AZ48"/>
  <c r="BA49"/>
  <c r="AM49" i="7"/>
  <c r="O49"/>
  <c r="AN49" s="1"/>
  <c r="AO49" s="1"/>
  <c r="L49"/>
  <c r="K49"/>
  <c r="F49"/>
  <c r="AM48"/>
  <c r="O48"/>
  <c r="AN48" s="1"/>
  <c r="AO48" s="1"/>
  <c r="L48"/>
  <c r="F48"/>
  <c r="K48" s="1"/>
  <c r="AN47"/>
  <c r="AM47"/>
  <c r="O47"/>
  <c r="L47"/>
  <c r="AO47" s="1"/>
  <c r="K47"/>
  <c r="F47"/>
  <c r="AM46"/>
  <c r="O46"/>
  <c r="AN46" s="1"/>
  <c r="AO46" s="1"/>
  <c r="L46"/>
  <c r="F46"/>
  <c r="K46" s="1"/>
  <c r="AM45"/>
  <c r="O45"/>
  <c r="AN45" s="1"/>
  <c r="AO45" s="1"/>
  <c r="L45"/>
  <c r="K45"/>
  <c r="F45"/>
  <c r="AM43"/>
  <c r="O43"/>
  <c r="AN43" s="1"/>
  <c r="L43"/>
  <c r="F43"/>
  <c r="AN42"/>
  <c r="AM42"/>
  <c r="O42"/>
  <c r="L42"/>
  <c r="K42" s="1"/>
  <c r="F42"/>
  <c r="AM41"/>
  <c r="AN41" s="1"/>
  <c r="O41"/>
  <c r="L41"/>
  <c r="K41"/>
  <c r="F41"/>
  <c r="AN40"/>
  <c r="AM40"/>
  <c r="O40"/>
  <c r="L40"/>
  <c r="AO40" s="1"/>
  <c r="F40"/>
  <c r="AM39"/>
  <c r="O39"/>
  <c r="AN39" s="1"/>
  <c r="L39"/>
  <c r="K39" s="1"/>
  <c r="F39"/>
  <c r="AM38"/>
  <c r="O38"/>
  <c r="AN38" s="1"/>
  <c r="AO38" s="1"/>
  <c r="L38"/>
  <c r="K38"/>
  <c r="F38"/>
  <c r="AN37"/>
  <c r="AM37"/>
  <c r="O37"/>
  <c r="L37"/>
  <c r="K37" s="1"/>
  <c r="F37"/>
  <c r="AM36"/>
  <c r="O36"/>
  <c r="AN36" s="1"/>
  <c r="AO36" s="1"/>
  <c r="L36"/>
  <c r="F36"/>
  <c r="K36" s="1"/>
  <c r="AM35"/>
  <c r="O35"/>
  <c r="AN35" s="1"/>
  <c r="AO35" s="1"/>
  <c r="L35"/>
  <c r="K35"/>
  <c r="F35"/>
  <c r="AN34"/>
  <c r="AM34"/>
  <c r="O34"/>
  <c r="L34"/>
  <c r="K34" s="1"/>
  <c r="F34"/>
  <c r="AO33"/>
  <c r="AN33"/>
  <c r="AM33"/>
  <c r="O33"/>
  <c r="L33"/>
  <c r="F33"/>
  <c r="K33" s="1"/>
  <c r="AM32"/>
  <c r="AM31" s="1"/>
  <c r="O32"/>
  <c r="O31" s="1"/>
  <c r="L32"/>
  <c r="K32"/>
  <c r="F32"/>
  <c r="F31" s="1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M30"/>
  <c r="O30"/>
  <c r="AN30" s="1"/>
  <c r="L30"/>
  <c r="AO30" s="1"/>
  <c r="K30"/>
  <c r="F30"/>
  <c r="AN29"/>
  <c r="AM29"/>
  <c r="O29"/>
  <c r="L29"/>
  <c r="AO29" s="1"/>
  <c r="F29"/>
  <c r="AM28"/>
  <c r="O28"/>
  <c r="AN28" s="1"/>
  <c r="L28"/>
  <c r="K28" s="1"/>
  <c r="F28"/>
  <c r="AM27"/>
  <c r="O27"/>
  <c r="AN27" s="1"/>
  <c r="AO27" s="1"/>
  <c r="L27"/>
  <c r="K27"/>
  <c r="F27"/>
  <c r="AN26"/>
  <c r="AM26"/>
  <c r="O26"/>
  <c r="L26"/>
  <c r="K26" s="1"/>
  <c r="F26"/>
  <c r="AM25"/>
  <c r="O25"/>
  <c r="AN25" s="1"/>
  <c r="L25"/>
  <c r="AO25" s="1"/>
  <c r="F25"/>
  <c r="K25" s="1"/>
  <c r="AM24"/>
  <c r="O24"/>
  <c r="AN24" s="1"/>
  <c r="AO24" s="1"/>
  <c r="L24"/>
  <c r="K24"/>
  <c r="F24"/>
  <c r="AN23"/>
  <c r="AM23"/>
  <c r="O23"/>
  <c r="L23"/>
  <c r="AO23" s="1"/>
  <c r="F23"/>
  <c r="AO22"/>
  <c r="AN22"/>
  <c r="AM22"/>
  <c r="O22"/>
  <c r="L22"/>
  <c r="F22"/>
  <c r="F18" s="1"/>
  <c r="AM21"/>
  <c r="AM18" s="1"/>
  <c r="O21"/>
  <c r="AN21" s="1"/>
  <c r="L21"/>
  <c r="K21"/>
  <c r="F21"/>
  <c r="AM20"/>
  <c r="O20"/>
  <c r="AN20" s="1"/>
  <c r="L20"/>
  <c r="F20"/>
  <c r="AO19"/>
  <c r="AN19"/>
  <c r="AM19"/>
  <c r="O19"/>
  <c r="O18" s="1"/>
  <c r="L19"/>
  <c r="K19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43" l="1"/>
  <c r="AO21"/>
  <c r="AO18" s="1"/>
  <c r="AO32"/>
  <c r="AO20"/>
  <c r="AN18"/>
  <c r="AO41"/>
  <c r="K29"/>
  <c r="K40"/>
  <c r="K31" s="1"/>
  <c r="K23"/>
  <c r="K22"/>
  <c r="L31"/>
  <c r="AO34"/>
  <c r="AO28"/>
  <c r="AO39"/>
  <c r="L18"/>
  <c r="K20"/>
  <c r="K43"/>
  <c r="AO26"/>
  <c r="AN32"/>
  <c r="AN31" s="1"/>
  <c r="AO37"/>
  <c r="AO42"/>
  <c r="AO31" l="1"/>
  <c r="K18"/>
  <c r="U52" i="6" l="1"/>
  <c r="V52" s="1"/>
  <c r="M52"/>
  <c r="N52" s="1"/>
  <c r="J52"/>
  <c r="G52"/>
  <c r="D52"/>
  <c r="N41" i="64" l="1"/>
  <c r="O41" s="1"/>
  <c r="R41" s="1"/>
  <c r="M41"/>
  <c r="I41"/>
  <c r="F41"/>
  <c r="N40"/>
  <c r="M40"/>
  <c r="I40"/>
  <c r="F40"/>
  <c r="O40" s="1"/>
  <c r="R40" s="1"/>
  <c r="N39"/>
  <c r="M39"/>
  <c r="I39"/>
  <c r="O39" s="1"/>
  <c r="R39" s="1"/>
  <c r="F39"/>
  <c r="N38"/>
  <c r="M38"/>
  <c r="O38" s="1"/>
  <c r="R38" s="1"/>
  <c r="I38"/>
  <c r="F38"/>
  <c r="N37"/>
  <c r="O37" s="1"/>
  <c r="R37" s="1"/>
  <c r="M37"/>
  <c r="I37"/>
  <c r="F37"/>
  <c r="O35"/>
  <c r="R35" s="1"/>
  <c r="N35"/>
  <c r="M35"/>
  <c r="I35"/>
  <c r="F35"/>
  <c r="R34"/>
  <c r="O34"/>
  <c r="N34"/>
  <c r="M34"/>
  <c r="I34"/>
  <c r="F34"/>
  <c r="N33"/>
  <c r="M33"/>
  <c r="I33"/>
  <c r="F33"/>
  <c r="O33" s="1"/>
  <c r="R33" s="1"/>
  <c r="N32"/>
  <c r="M32"/>
  <c r="I32"/>
  <c r="O32" s="1"/>
  <c r="R32" s="1"/>
  <c r="F32"/>
  <c r="N31"/>
  <c r="M31"/>
  <c r="O31" s="1"/>
  <c r="R31" s="1"/>
  <c r="I31"/>
  <c r="F31"/>
  <c r="N30"/>
  <c r="O30" s="1"/>
  <c r="R30" s="1"/>
  <c r="M30"/>
  <c r="I30"/>
  <c r="F30"/>
  <c r="O29"/>
  <c r="R29" s="1"/>
  <c r="N29"/>
  <c r="M29"/>
  <c r="I29"/>
  <c r="F29"/>
  <c r="N28"/>
  <c r="O28" s="1"/>
  <c r="R28" s="1"/>
  <c r="M28"/>
  <c r="I28"/>
  <c r="F28"/>
  <c r="N27"/>
  <c r="M27"/>
  <c r="I27"/>
  <c r="F27"/>
  <c r="O27" s="1"/>
  <c r="R27" s="1"/>
  <c r="N26"/>
  <c r="M26"/>
  <c r="I26"/>
  <c r="O26" s="1"/>
  <c r="R26" s="1"/>
  <c r="F26"/>
  <c r="N25"/>
  <c r="M25"/>
  <c r="O25" s="1"/>
  <c r="R25" s="1"/>
  <c r="I25"/>
  <c r="F25"/>
  <c r="N24"/>
  <c r="O24" s="1"/>
  <c r="M24"/>
  <c r="M23" s="1"/>
  <c r="I24"/>
  <c r="F24"/>
  <c r="F23" s="1"/>
  <c r="Q23"/>
  <c r="P23"/>
  <c r="L23"/>
  <c r="K23"/>
  <c r="J23"/>
  <c r="H23"/>
  <c r="G23"/>
  <c r="E23"/>
  <c r="D23"/>
  <c r="C23"/>
  <c r="B23"/>
  <c r="O22"/>
  <c r="R22" s="1"/>
  <c r="N22"/>
  <c r="M22"/>
  <c r="I22"/>
  <c r="F22"/>
  <c r="N21"/>
  <c r="O21" s="1"/>
  <c r="R21" s="1"/>
  <c r="M21"/>
  <c r="I21"/>
  <c r="F21"/>
  <c r="N20"/>
  <c r="M20"/>
  <c r="I20"/>
  <c r="F20"/>
  <c r="O20" s="1"/>
  <c r="R20" s="1"/>
  <c r="N19"/>
  <c r="M19"/>
  <c r="I19"/>
  <c r="F19"/>
  <c r="O19" s="1"/>
  <c r="R19" s="1"/>
  <c r="N18"/>
  <c r="M18"/>
  <c r="O18" s="1"/>
  <c r="R18" s="1"/>
  <c r="I18"/>
  <c r="F18"/>
  <c r="N17"/>
  <c r="N10" s="1"/>
  <c r="M17"/>
  <c r="I17"/>
  <c r="F17"/>
  <c r="O16"/>
  <c r="R16" s="1"/>
  <c r="N16"/>
  <c r="M16"/>
  <c r="I16"/>
  <c r="F16"/>
  <c r="R15"/>
  <c r="O15"/>
  <c r="N15"/>
  <c r="M15"/>
  <c r="I15"/>
  <c r="F15"/>
  <c r="N14"/>
  <c r="M14"/>
  <c r="I14"/>
  <c r="F14"/>
  <c r="O14" s="1"/>
  <c r="R14" s="1"/>
  <c r="N13"/>
  <c r="M13"/>
  <c r="I13"/>
  <c r="O13" s="1"/>
  <c r="R13" s="1"/>
  <c r="F13"/>
  <c r="N12"/>
  <c r="M12"/>
  <c r="I12"/>
  <c r="I10" s="1"/>
  <c r="F12"/>
  <c r="O12" s="1"/>
  <c r="R12" s="1"/>
  <c r="S12" s="1"/>
  <c r="N11"/>
  <c r="M11"/>
  <c r="O11" s="1"/>
  <c r="I11"/>
  <c r="F11"/>
  <c r="F10" s="1"/>
  <c r="Q10"/>
  <c r="P10"/>
  <c r="L10"/>
  <c r="K10"/>
  <c r="J10"/>
  <c r="H10"/>
  <c r="G10"/>
  <c r="E10"/>
  <c r="D10"/>
  <c r="C10"/>
  <c r="B10"/>
  <c r="N7"/>
  <c r="M7"/>
  <c r="I7"/>
  <c r="O7" s="1"/>
  <c r="F7"/>
  <c r="K47" i="33"/>
  <c r="K48"/>
  <c r="K46"/>
  <c r="J48"/>
  <c r="J47"/>
  <c r="J46"/>
  <c r="J45"/>
  <c r="K45" s="1"/>
  <c r="K44"/>
  <c r="J44"/>
  <c r="K42"/>
  <c r="J42"/>
  <c r="K41"/>
  <c r="J41"/>
  <c r="K40"/>
  <c r="J40"/>
  <c r="K39"/>
  <c r="J39"/>
  <c r="J38"/>
  <c r="K38" s="1"/>
  <c r="K37"/>
  <c r="J37"/>
  <c r="K36"/>
  <c r="J36"/>
  <c r="K35"/>
  <c r="J35"/>
  <c r="K34"/>
  <c r="J34"/>
  <c r="K33"/>
  <c r="J33"/>
  <c r="K32"/>
  <c r="J32"/>
  <c r="K31"/>
  <c r="J31"/>
  <c r="J30" s="1"/>
  <c r="O30"/>
  <c r="N30"/>
  <c r="M30"/>
  <c r="L30"/>
  <c r="I30"/>
  <c r="H30"/>
  <c r="G30"/>
  <c r="F30"/>
  <c r="E30"/>
  <c r="D30"/>
  <c r="C30"/>
  <c r="B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K17" s="1"/>
  <c r="J18"/>
  <c r="J17" s="1"/>
  <c r="O17"/>
  <c r="N17"/>
  <c r="M17"/>
  <c r="L17"/>
  <c r="I17"/>
  <c r="H17"/>
  <c r="G17"/>
  <c r="F17"/>
  <c r="E17"/>
  <c r="D17"/>
  <c r="C17"/>
  <c r="B17"/>
  <c r="R11" i="64" l="1"/>
  <c r="S13"/>
  <c r="S14" s="1"/>
  <c r="S15" s="1"/>
  <c r="S16" s="1"/>
  <c r="R24"/>
  <c r="R23" s="1"/>
  <c r="O23"/>
  <c r="I23"/>
  <c r="M10"/>
  <c r="N23"/>
  <c r="O17"/>
  <c r="R17" s="1"/>
  <c r="K30" i="33"/>
  <c r="O10" i="64" l="1"/>
  <c r="S17"/>
  <c r="S18" s="1"/>
  <c r="S19" s="1"/>
  <c r="S20" s="1"/>
  <c r="S21" s="1"/>
  <c r="S22" s="1"/>
  <c r="R10"/>
  <c r="S24" l="1"/>
  <c r="S25" s="1"/>
  <c r="S26" s="1"/>
  <c r="S27" s="1"/>
  <c r="S28" s="1"/>
  <c r="S29" s="1"/>
  <c r="S30" s="1"/>
  <c r="S31" s="1"/>
  <c r="S32" s="1"/>
  <c r="S33" s="1"/>
  <c r="S34" s="1"/>
  <c r="S35" s="1"/>
  <c r="S10"/>
  <c r="S37" l="1"/>
  <c r="S38" s="1"/>
  <c r="S39" s="1"/>
  <c r="S40" s="1"/>
  <c r="S41" s="1"/>
  <c r="S23"/>
  <c r="J41" i="60" l="1"/>
  <c r="E41"/>
  <c r="L40" i="61"/>
  <c r="F40"/>
  <c r="J50" i="51"/>
  <c r="I50"/>
  <c r="G50"/>
  <c r="G50" i="4" l="1"/>
  <c r="U47" i="45"/>
  <c r="G42" i="44" l="1"/>
  <c r="F42"/>
  <c r="E42"/>
  <c r="D42"/>
  <c r="C42"/>
  <c r="B42"/>
  <c r="K51" i="3" l="1"/>
  <c r="L51" l="1"/>
  <c r="N51" s="1"/>
  <c r="O51" s="1"/>
  <c r="J51"/>
  <c r="G51"/>
  <c r="D51"/>
  <c r="CB49" i="1"/>
  <c r="BX49"/>
  <c r="BV49"/>
  <c r="BU49"/>
  <c r="BU48"/>
  <c r="BV48"/>
  <c r="BH49"/>
  <c r="BC49"/>
  <c r="AV49"/>
  <c r="AL49"/>
  <c r="AP49" s="1"/>
  <c r="BW49" s="1"/>
  <c r="AO49"/>
  <c r="AN49"/>
  <c r="AM49"/>
  <c r="AH49"/>
  <c r="AD49"/>
  <c r="W49"/>
  <c r="X49" s="1"/>
  <c r="S49"/>
  <c r="T49" s="1"/>
  <c r="N49"/>
  <c r="L49"/>
  <c r="CE49" l="1"/>
  <c r="BT49"/>
  <c r="U51" i="6" l="1"/>
  <c r="V51" s="1"/>
  <c r="M51"/>
  <c r="N51" s="1"/>
  <c r="J51"/>
  <c r="G51"/>
  <c r="D51"/>
  <c r="K47" i="36"/>
  <c r="I47"/>
  <c r="F47"/>
  <c r="K47" i="35"/>
  <c r="I47"/>
  <c r="F47"/>
  <c r="I49" i="5" l="1"/>
  <c r="P49" s="1"/>
  <c r="R49" s="1"/>
  <c r="S49" s="1"/>
  <c r="E49"/>
  <c r="U46" i="45" l="1"/>
  <c r="BA48" i="1" l="1"/>
  <c r="L39" i="61" l="1"/>
  <c r="F39"/>
  <c r="J40" i="60"/>
  <c r="E40"/>
  <c r="O49" i="5" l="1"/>
  <c r="M49"/>
  <c r="L49"/>
  <c r="J49"/>
  <c r="F49"/>
  <c r="BH48" i="1"/>
  <c r="AX48"/>
  <c r="AV48"/>
  <c r="BX48" l="1"/>
  <c r="CB48"/>
  <c r="BT48"/>
  <c r="CE48"/>
  <c r="G49" i="51" l="1"/>
  <c r="I49" s="1"/>
  <c r="J49" s="1"/>
  <c r="G49" i="4"/>
  <c r="AL48" i="1" l="1"/>
  <c r="AP48" s="1"/>
  <c r="AN48"/>
  <c r="AO48"/>
  <c r="AM48"/>
  <c r="AH48"/>
  <c r="AD48"/>
  <c r="W48"/>
  <c r="X48" s="1"/>
  <c r="S48"/>
  <c r="T48" s="1"/>
  <c r="N48"/>
  <c r="L48"/>
  <c r="BC48" s="1"/>
  <c r="N50" i="3"/>
  <c r="L50"/>
  <c r="K50"/>
  <c r="J50"/>
  <c r="G50"/>
  <c r="D50"/>
  <c r="O50" l="1"/>
  <c r="BW48" i="1"/>
  <c r="U50" i="6"/>
  <c r="V50" s="1"/>
  <c r="M50"/>
  <c r="N50" s="1"/>
  <c r="J50"/>
  <c r="G50"/>
  <c r="D50"/>
  <c r="H28" i="59" l="1"/>
  <c r="J39" i="60" l="1"/>
  <c r="J37"/>
  <c r="J35"/>
  <c r="E39"/>
  <c r="E37"/>
  <c r="L38" i="61"/>
  <c r="F38"/>
  <c r="F37"/>
  <c r="F36"/>
  <c r="F34"/>
  <c r="U45" i="45" l="1"/>
  <c r="U42"/>
  <c r="U43"/>
  <c r="U44"/>
  <c r="CB47" i="1" l="1"/>
  <c r="K46" i="36"/>
  <c r="I46"/>
  <c r="F46"/>
  <c r="K46" i="35"/>
  <c r="I46"/>
  <c r="F46"/>
  <c r="R48" i="5" l="1"/>
  <c r="E48"/>
  <c r="O48"/>
  <c r="M48"/>
  <c r="L48"/>
  <c r="J48"/>
  <c r="F48"/>
  <c r="I48" s="1"/>
  <c r="I48" i="51"/>
  <c r="J48" s="1"/>
  <c r="G48"/>
  <c r="G48" i="4"/>
  <c r="CE47" i="1"/>
  <c r="BT47"/>
  <c r="S48" i="5" l="1"/>
  <c r="P48"/>
  <c r="AX47" i="1"/>
  <c r="AV47"/>
  <c r="BH47"/>
  <c r="AD47"/>
  <c r="AP47" s="1"/>
  <c r="AN47"/>
  <c r="AO47"/>
  <c r="AL47"/>
  <c r="AM47"/>
  <c r="AH47"/>
  <c r="BV47" l="1"/>
  <c r="BX47"/>
  <c r="BW47"/>
  <c r="BU47"/>
  <c r="N49" i="3"/>
  <c r="O49" s="1"/>
  <c r="K49"/>
  <c r="L49" s="1"/>
  <c r="J49"/>
  <c r="G49"/>
  <c r="D49"/>
  <c r="S47" i="1"/>
  <c r="T47" s="1"/>
  <c r="N47"/>
  <c r="W47" s="1"/>
  <c r="X47" s="1"/>
  <c r="L47"/>
  <c r="BC47" s="1"/>
  <c r="I38" i="50"/>
  <c r="H38"/>
  <c r="G38"/>
  <c r="F38"/>
  <c r="E38"/>
  <c r="D38"/>
  <c r="C38"/>
  <c r="B38"/>
  <c r="I42"/>
  <c r="E42"/>
  <c r="U49" i="6" l="1"/>
  <c r="V49" s="1"/>
  <c r="M49"/>
  <c r="N49" s="1"/>
  <c r="J49"/>
  <c r="G49"/>
  <c r="D49"/>
  <c r="J38" i="60" l="1"/>
  <c r="E38"/>
  <c r="L37" i="61"/>
  <c r="BA46" i="1" l="1"/>
  <c r="K45" i="36" l="1"/>
  <c r="O47" i="5"/>
  <c r="M47"/>
  <c r="J47"/>
  <c r="L47" s="1"/>
  <c r="I47"/>
  <c r="F47"/>
  <c r="B47"/>
  <c r="E47" s="1"/>
  <c r="B44"/>
  <c r="F45" i="36"/>
  <c r="I45"/>
  <c r="L48" i="3"/>
  <c r="K45" i="35"/>
  <c r="I45"/>
  <c r="F45"/>
  <c r="AV46" i="1"/>
  <c r="P47" i="5" l="1"/>
  <c r="R47" s="1"/>
  <c r="S47" s="1"/>
  <c r="I47" i="51"/>
  <c r="J47" s="1"/>
  <c r="G47"/>
  <c r="G47" i="4"/>
  <c r="G44"/>
  <c r="BX46" i="1"/>
  <c r="BA43"/>
  <c r="AV45"/>
  <c r="AV43"/>
  <c r="AV42"/>
  <c r="AV41"/>
  <c r="CB46"/>
  <c r="X46" l="1"/>
  <c r="K44" i="3"/>
  <c r="K42"/>
  <c r="L42" s="1"/>
  <c r="N48"/>
  <c r="O48"/>
  <c r="L45"/>
  <c r="K45"/>
  <c r="K48"/>
  <c r="J48"/>
  <c r="G48"/>
  <c r="D48"/>
  <c r="BT46" i="1"/>
  <c r="BV46" s="1"/>
  <c r="BH46"/>
  <c r="AN46"/>
  <c r="AL46"/>
  <c r="AP46" s="1"/>
  <c r="BU46" s="1"/>
  <c r="AO46"/>
  <c r="AM46"/>
  <c r="AH46"/>
  <c r="AD46"/>
  <c r="W46"/>
  <c r="S46"/>
  <c r="T46" s="1"/>
  <c r="N46"/>
  <c r="L46"/>
  <c r="BC46" s="1"/>
  <c r="BW46" l="1"/>
  <c r="CE46"/>
  <c r="V48" i="6" l="1"/>
  <c r="U48"/>
  <c r="N48"/>
  <c r="M48"/>
  <c r="J48"/>
  <c r="G48"/>
  <c r="D48"/>
  <c r="W38" i="27" l="1"/>
  <c r="W37"/>
  <c r="Q42" i="6"/>
  <c r="R42"/>
  <c r="S42"/>
  <c r="T42"/>
  <c r="P42"/>
  <c r="K42"/>
  <c r="L42"/>
  <c r="I42"/>
  <c r="H42"/>
  <c r="F42"/>
  <c r="E42"/>
  <c r="C42"/>
  <c r="B42"/>
  <c r="B19" i="51"/>
  <c r="C19"/>
  <c r="D19"/>
  <c r="E19"/>
  <c r="F19"/>
  <c r="G19"/>
  <c r="H19"/>
  <c r="G20"/>
  <c r="I20" s="1"/>
  <c r="J20" s="1"/>
  <c r="G21"/>
  <c r="I21" s="1"/>
  <c r="J21" s="1"/>
  <c r="G22"/>
  <c r="I22" s="1"/>
  <c r="J22" s="1"/>
  <c r="G23"/>
  <c r="I23" s="1"/>
  <c r="J23" s="1"/>
  <c r="G24"/>
  <c r="I24" s="1"/>
  <c r="J24" s="1"/>
  <c r="G25"/>
  <c r="I25" s="1"/>
  <c r="J25" s="1"/>
  <c r="G26"/>
  <c r="I26" s="1"/>
  <c r="J26" s="1"/>
  <c r="G27"/>
  <c r="I27" s="1"/>
  <c r="J27" s="1"/>
  <c r="G28"/>
  <c r="I28" s="1"/>
  <c r="J28" s="1"/>
  <c r="G29"/>
  <c r="I29" s="1"/>
  <c r="J29" s="1"/>
  <c r="G30"/>
  <c r="I30" s="1"/>
  <c r="J30" s="1"/>
  <c r="G31"/>
  <c r="I31" s="1"/>
  <c r="I19" l="1"/>
  <c r="J31"/>
  <c r="J19" s="1"/>
  <c r="M44" i="6" l="1"/>
  <c r="J44"/>
  <c r="G44"/>
  <c r="D44"/>
  <c r="U44"/>
  <c r="U43"/>
  <c r="M43"/>
  <c r="J43"/>
  <c r="G43"/>
  <c r="D43"/>
  <c r="N44" l="1"/>
  <c r="V44" s="1"/>
  <c r="N43"/>
  <c r="V43" l="1"/>
  <c r="U46"/>
  <c r="M46"/>
  <c r="J46"/>
  <c r="G46"/>
  <c r="D46"/>
  <c r="U45"/>
  <c r="M45"/>
  <c r="J45"/>
  <c r="G45"/>
  <c r="D45"/>
  <c r="BT45" i="1"/>
  <c r="L36" i="61"/>
  <c r="U42" i="6" l="1"/>
  <c r="M42"/>
  <c r="J42"/>
  <c r="G42"/>
  <c r="D42"/>
  <c r="N46"/>
  <c r="V46" s="1"/>
  <c r="V42" s="1"/>
  <c r="V45"/>
  <c r="N45"/>
  <c r="BA45" i="1"/>
  <c r="AZ45" s="1"/>
  <c r="N42" i="6" l="1"/>
  <c r="K47" i="3"/>
  <c r="CB45" i="1"/>
  <c r="O46" i="5" l="1"/>
  <c r="M46"/>
  <c r="J46"/>
  <c r="L46" s="1"/>
  <c r="I46"/>
  <c r="F46"/>
  <c r="E46"/>
  <c r="B46"/>
  <c r="I44" i="36"/>
  <c r="F44"/>
  <c r="K44" s="1"/>
  <c r="K44" i="35"/>
  <c r="I44"/>
  <c r="F44"/>
  <c r="G46" i="51"/>
  <c r="I46" s="1"/>
  <c r="J46" s="1"/>
  <c r="G46" i="4"/>
  <c r="J47" i="3"/>
  <c r="L47" s="1"/>
  <c r="G47"/>
  <c r="D47"/>
  <c r="P46" i="5" l="1"/>
  <c r="R46" s="1"/>
  <c r="S46" s="1"/>
  <c r="N47" i="3"/>
  <c r="O47" s="1"/>
  <c r="BH45" i="1" l="1"/>
  <c r="AX45"/>
  <c r="AZ47" s="1"/>
  <c r="AM45"/>
  <c r="AN45"/>
  <c r="AO45"/>
  <c r="AL45"/>
  <c r="AH45"/>
  <c r="AD45"/>
  <c r="S45"/>
  <c r="T45" s="1"/>
  <c r="AP45" l="1"/>
  <c r="BU45" s="1"/>
  <c r="BV45"/>
  <c r="BX45"/>
  <c r="L45"/>
  <c r="BC45" s="1"/>
  <c r="CE45"/>
  <c r="BW45" l="1"/>
  <c r="N45"/>
  <c r="W45" s="1"/>
  <c r="X45" s="1"/>
  <c r="K31" i="2"/>
  <c r="AM28" i="59" l="1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K42" s="1"/>
  <c r="C30" i="36"/>
  <c r="D30"/>
  <c r="E30"/>
  <c r="G30"/>
  <c r="H30"/>
  <c r="J30"/>
  <c r="B30"/>
  <c r="C32" i="5"/>
  <c r="D32"/>
  <c r="G32"/>
  <c r="H32"/>
  <c r="K32"/>
  <c r="N32"/>
  <c r="Q32"/>
  <c r="K30" i="35" l="1"/>
  <c r="F30"/>
  <c r="K42" i="36"/>
  <c r="K30" s="1"/>
  <c r="I42"/>
  <c r="I30" s="1"/>
  <c r="F42"/>
  <c r="F30" s="1"/>
  <c r="O44" i="5" l="1"/>
  <c r="O32" s="1"/>
  <c r="M44"/>
  <c r="M32" s="1"/>
  <c r="J44"/>
  <c r="J32" s="1"/>
  <c r="F44"/>
  <c r="F32" s="1"/>
  <c r="E44"/>
  <c r="E32" s="1"/>
  <c r="B32"/>
  <c r="L44" l="1"/>
  <c r="L32" s="1"/>
  <c r="I44"/>
  <c r="C32" i="51"/>
  <c r="D32"/>
  <c r="E32"/>
  <c r="F32"/>
  <c r="G32"/>
  <c r="H32"/>
  <c r="B32"/>
  <c r="G44"/>
  <c r="I44" s="1"/>
  <c r="J44" s="1"/>
  <c r="C32" i="4"/>
  <c r="D32"/>
  <c r="E32"/>
  <c r="F32"/>
  <c r="G32"/>
  <c r="B32"/>
  <c r="C33" i="3"/>
  <c r="E33"/>
  <c r="F33"/>
  <c r="H33"/>
  <c r="I33"/>
  <c r="K33"/>
  <c r="M33"/>
  <c r="B33"/>
  <c r="I32" i="5" l="1"/>
  <c r="P44"/>
  <c r="J32" i="51"/>
  <c r="I32"/>
  <c r="J45" i="3"/>
  <c r="J33" s="1"/>
  <c r="G45"/>
  <c r="G33" s="1"/>
  <c r="D45"/>
  <c r="D33" s="1"/>
  <c r="CB43" i="1"/>
  <c r="P32" i="5" l="1"/>
  <c r="R44"/>
  <c r="N45" i="3"/>
  <c r="O45" s="1"/>
  <c r="L33"/>
  <c r="BQ31" i="1"/>
  <c r="BR31"/>
  <c r="BS31"/>
  <c r="BT31"/>
  <c r="BY31"/>
  <c r="BZ31"/>
  <c r="CA31"/>
  <c r="CB31"/>
  <c r="CC31"/>
  <c r="CD31"/>
  <c r="CE31"/>
  <c r="BP31"/>
  <c r="BK31"/>
  <c r="BL31"/>
  <c r="BM31"/>
  <c r="BN31"/>
  <c r="BJ31"/>
  <c r="AS31"/>
  <c r="AT31"/>
  <c r="AU31"/>
  <c r="AV31"/>
  <c r="AW31"/>
  <c r="BA31"/>
  <c r="BB31"/>
  <c r="BD31"/>
  <c r="BE31"/>
  <c r="BF31"/>
  <c r="BG31"/>
  <c r="AR31"/>
  <c r="AB31"/>
  <c r="AC31"/>
  <c r="AE31"/>
  <c r="AF31"/>
  <c r="AG31"/>
  <c r="AI31"/>
  <c r="AJ31"/>
  <c r="AK31"/>
  <c r="AA31"/>
  <c r="K31"/>
  <c r="M31"/>
  <c r="O31"/>
  <c r="P31"/>
  <c r="Q31"/>
  <c r="R31"/>
  <c r="S31"/>
  <c r="T31"/>
  <c r="U31"/>
  <c r="V31"/>
  <c r="Y31"/>
  <c r="J31"/>
  <c r="BV43"/>
  <c r="BV31" s="1"/>
  <c r="BH43"/>
  <c r="BH31" s="1"/>
  <c r="AX43"/>
  <c r="AZ46" s="1"/>
  <c r="BX43"/>
  <c r="BX31" s="1"/>
  <c r="AL43"/>
  <c r="AL31" s="1"/>
  <c r="AO43"/>
  <c r="AO31" s="1"/>
  <c r="AN43"/>
  <c r="AN31" s="1"/>
  <c r="AM43"/>
  <c r="AM31" s="1"/>
  <c r="AH43"/>
  <c r="AH31" s="1"/>
  <c r="AD43"/>
  <c r="AD31" s="1"/>
  <c r="S43"/>
  <c r="T43" s="1"/>
  <c r="N43"/>
  <c r="N31" s="1"/>
  <c r="L43"/>
  <c r="L31" s="1"/>
  <c r="CE43"/>
  <c r="BT43"/>
  <c r="BC43" l="1"/>
  <c r="BC31" s="1"/>
  <c r="AX31"/>
  <c r="W43"/>
  <c r="X43" s="1"/>
  <c r="S44" i="5"/>
  <c r="S32" s="1"/>
  <c r="R32"/>
  <c r="O33" i="3"/>
  <c r="N33"/>
  <c r="AP43" i="1"/>
  <c r="D31" i="2"/>
  <c r="B31"/>
  <c r="Q28" i="11"/>
  <c r="P28"/>
  <c r="O28"/>
  <c r="N28"/>
  <c r="M28"/>
  <c r="L28"/>
  <c r="K28"/>
  <c r="J28"/>
  <c r="I28"/>
  <c r="H28"/>
  <c r="G28"/>
  <c r="F28"/>
  <c r="E28"/>
  <c r="D28"/>
  <c r="C28"/>
  <c r="B28"/>
  <c r="W31" i="1" l="1"/>
  <c r="X31"/>
  <c r="BW43"/>
  <c r="BW31" s="1"/>
  <c r="AP31"/>
  <c r="BU43"/>
  <c r="BU31" s="1"/>
  <c r="I41" i="50"/>
  <c r="E41"/>
  <c r="J33" i="60" l="1"/>
  <c r="J34"/>
  <c r="E34"/>
  <c r="L33" i="61"/>
  <c r="F33"/>
  <c r="L31" i="2" l="1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J31" i="2"/>
  <c r="N31" l="1"/>
  <c r="K41" i="36" l="1"/>
  <c r="I41"/>
  <c r="F41"/>
  <c r="K41" i="35"/>
  <c r="I41"/>
  <c r="F41"/>
  <c r="O43" i="5"/>
  <c r="M43"/>
  <c r="L43"/>
  <c r="J43"/>
  <c r="F43"/>
  <c r="I43" s="1"/>
  <c r="P43" s="1"/>
  <c r="R43" s="1"/>
  <c r="F42"/>
  <c r="B42"/>
  <c r="B43"/>
  <c r="E43" s="1"/>
  <c r="S43" l="1"/>
  <c r="I43" i="51"/>
  <c r="J43" s="1"/>
  <c r="G43"/>
  <c r="G43" i="4"/>
  <c r="BA42" i="1"/>
  <c r="L44" i="3" l="1"/>
  <c r="N44" s="1"/>
  <c r="O44" s="1"/>
  <c r="J44"/>
  <c r="G44"/>
  <c r="D44"/>
  <c r="CB42" i="1" l="1"/>
  <c r="CE42"/>
  <c r="BX42" l="1"/>
  <c r="BT42"/>
  <c r="BV42" s="1"/>
  <c r="BH42"/>
  <c r="AM42"/>
  <c r="AL42"/>
  <c r="AN42"/>
  <c r="AO42"/>
  <c r="AH42"/>
  <c r="AD42"/>
  <c r="S42"/>
  <c r="T42" s="1"/>
  <c r="N42"/>
  <c r="W42" s="1"/>
  <c r="X42" s="1"/>
  <c r="L42"/>
  <c r="BC42" s="1"/>
  <c r="AP42" l="1"/>
  <c r="BU42" s="1"/>
  <c r="BW42" l="1"/>
  <c r="U39" i="45" l="1"/>
  <c r="BT41" i="1"/>
  <c r="E33" i="60"/>
  <c r="L32" i="61"/>
  <c r="F32"/>
  <c r="O42" i="5"/>
  <c r="M42"/>
  <c r="J42"/>
  <c r="L42" s="1"/>
  <c r="I42"/>
  <c r="E42"/>
  <c r="I40" i="36"/>
  <c r="K40" s="1"/>
  <c r="F40"/>
  <c r="I40" i="35"/>
  <c r="F40"/>
  <c r="P42" i="5" l="1"/>
  <c r="R42" s="1"/>
  <c r="S42" s="1"/>
  <c r="K40" i="35"/>
  <c r="G42" i="51" l="1"/>
  <c r="I42" s="1"/>
  <c r="J42" s="1"/>
  <c r="G42" i="4" l="1"/>
  <c r="K43" i="3"/>
  <c r="J43"/>
  <c r="G43"/>
  <c r="D43"/>
  <c r="CB41" i="1"/>
  <c r="CE41"/>
  <c r="BA41"/>
  <c r="BH41"/>
  <c r="AX41"/>
  <c r="BV41"/>
  <c r="AL41"/>
  <c r="AO41"/>
  <c r="AN41"/>
  <c r="AM41"/>
  <c r="AH41"/>
  <c r="AD41"/>
  <c r="S41"/>
  <c r="T41" s="1"/>
  <c r="L41"/>
  <c r="N41" s="1"/>
  <c r="W41" s="1"/>
  <c r="X41" s="1"/>
  <c r="AP41" l="1"/>
  <c r="BU41" s="1"/>
  <c r="L43" i="3"/>
  <c r="N43" s="1"/>
  <c r="O43" s="1"/>
  <c r="BC41" i="1"/>
  <c r="BX41"/>
  <c r="AY31"/>
  <c r="AZ43"/>
  <c r="AZ31" s="1"/>
  <c r="I39" i="35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BW41" i="1" l="1"/>
  <c r="K29" i="35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U41" i="6"/>
  <c r="M41"/>
  <c r="J41"/>
  <c r="G41"/>
  <c r="D41"/>
  <c r="U40"/>
  <c r="M40"/>
  <c r="J40"/>
  <c r="G40"/>
  <c r="D40"/>
  <c r="U39"/>
  <c r="M39"/>
  <c r="J39"/>
  <c r="G39"/>
  <c r="D39"/>
  <c r="U38"/>
  <c r="M38"/>
  <c r="J38"/>
  <c r="G38"/>
  <c r="D38"/>
  <c r="T37"/>
  <c r="S37"/>
  <c r="R37"/>
  <c r="Q37"/>
  <c r="P37"/>
  <c r="L37"/>
  <c r="K37"/>
  <c r="I37"/>
  <c r="H37"/>
  <c r="F37"/>
  <c r="E37"/>
  <c r="C37"/>
  <c r="B37"/>
  <c r="U36"/>
  <c r="M36"/>
  <c r="J36"/>
  <c r="G36"/>
  <c r="D36"/>
  <c r="U35"/>
  <c r="M35"/>
  <c r="J35"/>
  <c r="G35"/>
  <c r="D35"/>
  <c r="U34"/>
  <c r="M34"/>
  <c r="J34"/>
  <c r="G34"/>
  <c r="D34"/>
  <c r="U33"/>
  <c r="M33"/>
  <c r="J33"/>
  <c r="G33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U30"/>
  <c r="M30"/>
  <c r="J30"/>
  <c r="G30"/>
  <c r="D30"/>
  <c r="U29"/>
  <c r="M29"/>
  <c r="J29"/>
  <c r="G29"/>
  <c r="D29"/>
  <c r="N29" s="1"/>
  <c r="V29" s="1"/>
  <c r="U28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U25"/>
  <c r="M25"/>
  <c r="J25"/>
  <c r="G25"/>
  <c r="D25"/>
  <c r="U24"/>
  <c r="M24"/>
  <c r="J24"/>
  <c r="G24"/>
  <c r="D24"/>
  <c r="U23"/>
  <c r="M23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U20"/>
  <c r="M20"/>
  <c r="J20"/>
  <c r="G20"/>
  <c r="D20"/>
  <c r="U19"/>
  <c r="M19"/>
  <c r="J19"/>
  <c r="G19"/>
  <c r="D19"/>
  <c r="U18"/>
  <c r="M18"/>
  <c r="M17" s="1"/>
  <c r="J18"/>
  <c r="G18"/>
  <c r="D18"/>
  <c r="T17"/>
  <c r="S17"/>
  <c r="R17"/>
  <c r="Q17"/>
  <c r="P17"/>
  <c r="L17"/>
  <c r="K17"/>
  <c r="I17"/>
  <c r="H17"/>
  <c r="F17"/>
  <c r="E17"/>
  <c r="C17"/>
  <c r="B17"/>
  <c r="U16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U6"/>
  <c r="V6" s="1"/>
  <c r="N24" l="1"/>
  <c r="V24" s="1"/>
  <c r="J17"/>
  <c r="N26"/>
  <c r="V26" s="1"/>
  <c r="N31"/>
  <c r="V31" s="1"/>
  <c r="N14"/>
  <c r="V14" s="1"/>
  <c r="M22"/>
  <c r="N34"/>
  <c r="V34" s="1"/>
  <c r="N21"/>
  <c r="V21" s="1"/>
  <c r="N36"/>
  <c r="V36" s="1"/>
  <c r="M27"/>
  <c r="J27"/>
  <c r="J22"/>
  <c r="G27"/>
  <c r="G32"/>
  <c r="G22"/>
  <c r="U27"/>
  <c r="U32"/>
  <c r="N16"/>
  <c r="V16" s="1"/>
  <c r="N19"/>
  <c r="V19" s="1"/>
  <c r="M32"/>
  <c r="N28"/>
  <c r="V28" s="1"/>
  <c r="N30"/>
  <c r="V30" s="1"/>
  <c r="N33"/>
  <c r="N23"/>
  <c r="V23" s="1"/>
  <c r="N25"/>
  <c r="V25" s="1"/>
  <c r="G17"/>
  <c r="N20"/>
  <c r="V20" s="1"/>
  <c r="N35"/>
  <c r="V35" s="1"/>
  <c r="N13"/>
  <c r="U17"/>
  <c r="N18"/>
  <c r="M37"/>
  <c r="N15"/>
  <c r="V15" s="1"/>
  <c r="U12"/>
  <c r="J37"/>
  <c r="M12"/>
  <c r="J12"/>
  <c r="U22"/>
  <c r="G12"/>
  <c r="J32"/>
  <c r="U37"/>
  <c r="N39"/>
  <c r="V39" s="1"/>
  <c r="N41"/>
  <c r="V41" s="1"/>
  <c r="G37"/>
  <c r="N40"/>
  <c r="V40" s="1"/>
  <c r="N38"/>
  <c r="V38" s="1"/>
  <c r="V33"/>
  <c r="D12"/>
  <c r="D17"/>
  <c r="D22"/>
  <c r="D27"/>
  <c r="D32"/>
  <c r="D37"/>
  <c r="V32" l="1"/>
  <c r="N12"/>
  <c r="V27"/>
  <c r="N32"/>
  <c r="V22"/>
  <c r="N17"/>
  <c r="V13"/>
  <c r="V12" s="1"/>
  <c r="N27"/>
  <c r="V18"/>
  <c r="V17" s="1"/>
  <c r="N22"/>
  <c r="V37"/>
  <c r="N37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J32" i="60" l="1"/>
  <c r="E32"/>
  <c r="U38" i="45"/>
  <c r="L31" i="61" l="1"/>
  <c r="F31"/>
  <c r="I39" i="36"/>
  <c r="F39"/>
  <c r="M41" i="5"/>
  <c r="O41" s="1"/>
  <c r="L41"/>
  <c r="J41"/>
  <c r="I41"/>
  <c r="F41"/>
  <c r="E41"/>
  <c r="B41"/>
  <c r="P41" l="1"/>
  <c r="R41" s="1"/>
  <c r="S41" s="1"/>
  <c r="K39" i="36"/>
  <c r="BA40" i="1"/>
  <c r="CB40" l="1"/>
  <c r="G41" i="51" l="1"/>
  <c r="I41" s="1"/>
  <c r="J41" s="1"/>
  <c r="J42" i="3"/>
  <c r="N42" s="1"/>
  <c r="O42" s="1"/>
  <c r="G42"/>
  <c r="D42"/>
  <c r="G41" i="4"/>
  <c r="BT40" i="1"/>
  <c r="BV40" s="1"/>
  <c r="CE40"/>
  <c r="BH40"/>
  <c r="AX40"/>
  <c r="AV40"/>
  <c r="BX40" s="1"/>
  <c r="AL40"/>
  <c r="AO40"/>
  <c r="AN40"/>
  <c r="AM40"/>
  <c r="AH40"/>
  <c r="AD40"/>
  <c r="S40"/>
  <c r="T40" s="1"/>
  <c r="L40"/>
  <c r="N40" s="1"/>
  <c r="W40" s="1"/>
  <c r="X40" s="1"/>
  <c r="I40" i="50"/>
  <c r="E40"/>
  <c r="BC40" i="1" l="1"/>
  <c r="AZ42"/>
  <c r="AP40"/>
  <c r="BU40" s="1"/>
  <c r="BS15" i="59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BW40" i="1" l="1"/>
  <c r="U37" i="45" l="1"/>
  <c r="K38" i="36" l="1"/>
  <c r="I40" i="5"/>
  <c r="E40"/>
  <c r="I38" i="36"/>
  <c r="F38"/>
  <c r="M40" i="5"/>
  <c r="O40" s="1"/>
  <c r="L40"/>
  <c r="J40"/>
  <c r="F40"/>
  <c r="B40"/>
  <c r="BT39" i="1"/>
  <c r="J31" i="60"/>
  <c r="E31"/>
  <c r="F30" i="61"/>
  <c r="L30"/>
  <c r="R40" i="5" l="1"/>
  <c r="S40" s="1"/>
  <c r="P40"/>
  <c r="BA39" i="1"/>
  <c r="I40" i="51"/>
  <c r="J40" s="1"/>
  <c r="G40"/>
  <c r="G40" i="4"/>
  <c r="K41" i="3"/>
  <c r="J41"/>
  <c r="G41"/>
  <c r="L41" s="1"/>
  <c r="N41" s="1"/>
  <c r="O41" s="1"/>
  <c r="D41"/>
  <c r="CB39" i="1" l="1"/>
  <c r="AV39"/>
  <c r="AX39" s="1"/>
  <c r="AZ41" s="1"/>
  <c r="BH39"/>
  <c r="AL39"/>
  <c r="AO39"/>
  <c r="AN39"/>
  <c r="AM39"/>
  <c r="AH39"/>
  <c r="AD39"/>
  <c r="S39"/>
  <c r="T39" s="1"/>
  <c r="N39"/>
  <c r="W39" s="1"/>
  <c r="X39" s="1"/>
  <c r="L39"/>
  <c r="BC39" s="1"/>
  <c r="CE39"/>
  <c r="BV39" l="1"/>
  <c r="BX39"/>
  <c r="AP39"/>
  <c r="BA38"/>
  <c r="BW39" l="1"/>
  <c r="BU39"/>
  <c r="K37" i="36"/>
  <c r="I37"/>
  <c r="F37"/>
  <c r="O39" i="5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BX38" i="1"/>
  <c r="BT38"/>
  <c r="BV38" s="1"/>
  <c r="I39" i="51"/>
  <c r="J39" s="1"/>
  <c r="G39"/>
  <c r="G39" i="4"/>
  <c r="K40" i="3"/>
  <c r="J40"/>
  <c r="G40"/>
  <c r="L40" s="1"/>
  <c r="N40" s="1"/>
  <c r="O40" s="1"/>
  <c r="D40"/>
  <c r="CB38" i="1"/>
  <c r="CE38"/>
  <c r="BH38"/>
  <c r="AX38"/>
  <c r="AV38"/>
  <c r="AL38"/>
  <c r="AO38"/>
  <c r="AN38"/>
  <c r="AM38"/>
  <c r="AH38"/>
  <c r="AD38"/>
  <c r="S38"/>
  <c r="T38" s="1"/>
  <c r="L38"/>
  <c r="N38" s="1"/>
  <c r="W38" s="1"/>
  <c r="X38" s="1"/>
  <c r="Q48" i="39"/>
  <c r="AZ40" i="1" l="1"/>
  <c r="AP38"/>
  <c r="BU38" s="1"/>
  <c r="BC38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BW38" i="1" l="1"/>
  <c r="J37" i="3"/>
  <c r="L28" i="61" l="1"/>
  <c r="F28"/>
  <c r="J29" i="60"/>
  <c r="E29"/>
  <c r="E28"/>
  <c r="U35" i="45" l="1"/>
  <c r="U34"/>
  <c r="BA37" i="1" l="1"/>
  <c r="I36" i="36"/>
  <c r="F36"/>
  <c r="I38" i="5"/>
  <c r="O38"/>
  <c r="M38"/>
  <c r="J38"/>
  <c r="L38" s="1"/>
  <c r="F38"/>
  <c r="B38"/>
  <c r="E38" s="1"/>
  <c r="G38" i="4"/>
  <c r="BA35" i="1"/>
  <c r="G38" i="51"/>
  <c r="I38" s="1"/>
  <c r="J38" s="1"/>
  <c r="D37" i="3"/>
  <c r="D38"/>
  <c r="K39"/>
  <c r="L39" s="1"/>
  <c r="N39" s="1"/>
  <c r="O39" s="1"/>
  <c r="J39"/>
  <c r="G39"/>
  <c r="D39"/>
  <c r="CB37" i="1"/>
  <c r="CE37"/>
  <c r="BT37"/>
  <c r="BV37" s="1"/>
  <c r="BH37"/>
  <c r="AV37"/>
  <c r="AX37" s="1"/>
  <c r="AZ39" s="1"/>
  <c r="AL37"/>
  <c r="AO37"/>
  <c r="AN37"/>
  <c r="AM37"/>
  <c r="AH37"/>
  <c r="AD37"/>
  <c r="W37"/>
  <c r="X37" s="1"/>
  <c r="S37"/>
  <c r="T37" s="1"/>
  <c r="N37"/>
  <c r="L37"/>
  <c r="P38" i="5" l="1"/>
  <c r="R38" s="1"/>
  <c r="S38" s="1"/>
  <c r="BC37" i="1"/>
  <c r="BX37"/>
  <c r="AP37"/>
  <c r="BU37" s="1"/>
  <c r="K36" i="36"/>
  <c r="BW37" i="1" l="1"/>
  <c r="I4" i="63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28" i="60" l="1"/>
  <c r="J27"/>
  <c r="E27"/>
  <c r="J26"/>
  <c r="E26"/>
  <c r="J25"/>
  <c r="E25"/>
  <c r="J24"/>
  <c r="E24"/>
  <c r="J22"/>
  <c r="J10" s="1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E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I35" i="36" l="1"/>
  <c r="F35"/>
  <c r="I34"/>
  <c r="F34"/>
  <c r="I33"/>
  <c r="F33"/>
  <c r="I32"/>
  <c r="F32"/>
  <c r="I31"/>
  <c r="F31"/>
  <c r="I29"/>
  <c r="I17" s="1"/>
  <c r="F29"/>
  <c r="I28"/>
  <c r="F28"/>
  <c r="I27"/>
  <c r="F27"/>
  <c r="I26"/>
  <c r="F26"/>
  <c r="K25"/>
  <c r="I25"/>
  <c r="F25"/>
  <c r="I24"/>
  <c r="F24"/>
  <c r="I23"/>
  <c r="F23"/>
  <c r="K23" s="1"/>
  <c r="I22"/>
  <c r="F22"/>
  <c r="I21"/>
  <c r="F21"/>
  <c r="I20"/>
  <c r="F20"/>
  <c r="I19"/>
  <c r="F19"/>
  <c r="I18"/>
  <c r="F18"/>
  <c r="J17"/>
  <c r="H17"/>
  <c r="G17"/>
  <c r="F17"/>
  <c r="E17"/>
  <c r="D17"/>
  <c r="C17"/>
  <c r="B17"/>
  <c r="I7"/>
  <c r="F7"/>
  <c r="I6"/>
  <c r="F6"/>
  <c r="K27" l="1"/>
  <c r="K20"/>
  <c r="K28"/>
  <c r="K7"/>
  <c r="K21"/>
  <c r="K19"/>
  <c r="K6"/>
  <c r="K24"/>
  <c r="K29"/>
  <c r="K17" s="1"/>
  <c r="K33"/>
  <c r="K32"/>
  <c r="K34"/>
  <c r="K22"/>
  <c r="K31"/>
  <c r="K18"/>
  <c r="K26"/>
  <c r="K35"/>
  <c r="BA36" i="1" l="1"/>
  <c r="BT36" l="1"/>
  <c r="M37" i="5" l="1"/>
  <c r="O37" s="1"/>
  <c r="L37"/>
  <c r="J37"/>
  <c r="F37"/>
  <c r="I37" s="1"/>
  <c r="E37"/>
  <c r="B37"/>
  <c r="P37" l="1"/>
  <c r="R37" s="1"/>
  <c r="S37" s="1"/>
  <c r="K38" i="3"/>
  <c r="G37" i="51" l="1"/>
  <c r="I37" s="1"/>
  <c r="J37" s="1"/>
  <c r="G37" i="4"/>
  <c r="J38" i="3"/>
  <c r="G38"/>
  <c r="L38" l="1"/>
  <c r="N38" s="1"/>
  <c r="O38" s="1"/>
  <c r="CE36" i="1"/>
  <c r="CB36"/>
  <c r="CB35"/>
  <c r="BH36"/>
  <c r="AV36"/>
  <c r="AL36"/>
  <c r="AN36"/>
  <c r="AO36"/>
  <c r="AM36"/>
  <c r="BX36" l="1"/>
  <c r="BV36"/>
  <c r="AX36"/>
  <c r="AZ38" s="1"/>
  <c r="AH36"/>
  <c r="AP36" s="1"/>
  <c r="BU36" s="1"/>
  <c r="AD36"/>
  <c r="S36"/>
  <c r="T36" s="1"/>
  <c r="L36"/>
  <c r="BC36" l="1"/>
  <c r="N36"/>
  <c r="W36" s="1"/>
  <c r="X36" s="1"/>
  <c r="BW36"/>
  <c r="G21" i="4" l="1"/>
  <c r="G22"/>
  <c r="G23"/>
  <c r="G24"/>
  <c r="G25"/>
  <c r="G26"/>
  <c r="G27"/>
  <c r="G28"/>
  <c r="G29"/>
  <c r="G30"/>
  <c r="G31"/>
  <c r="M36" i="5" l="1"/>
  <c r="O36" s="1"/>
  <c r="L36"/>
  <c r="J36"/>
  <c r="F36"/>
  <c r="I36" s="1"/>
  <c r="E36"/>
  <c r="B36"/>
  <c r="B35"/>
  <c r="B34"/>
  <c r="B33"/>
  <c r="P36" l="1"/>
  <c r="R36" s="1"/>
  <c r="S36" s="1"/>
  <c r="CE35" i="1"/>
  <c r="U33" i="45" l="1"/>
  <c r="BA34" i="1" l="1"/>
  <c r="AV35"/>
  <c r="BX35" l="1"/>
  <c r="BT35"/>
  <c r="BV35" s="1"/>
  <c r="BT34"/>
  <c r="BT33"/>
  <c r="BT32"/>
  <c r="K37" i="3"/>
  <c r="G36" i="51" l="1"/>
  <c r="I36" s="1"/>
  <c r="J36" s="1"/>
  <c r="G36" i="4"/>
  <c r="G37" i="3"/>
  <c r="L37" l="1"/>
  <c r="N37" s="1"/>
  <c r="O37" l="1"/>
  <c r="BH35" i="1"/>
  <c r="AX35"/>
  <c r="AZ37" s="1"/>
  <c r="AL35"/>
  <c r="AO35"/>
  <c r="AN35"/>
  <c r="AM35"/>
  <c r="AH35"/>
  <c r="AD35"/>
  <c r="S35"/>
  <c r="T35" s="1"/>
  <c r="L35"/>
  <c r="N35" s="1"/>
  <c r="W35" s="1"/>
  <c r="X35" s="1"/>
  <c r="BC35" l="1"/>
  <c r="AP35"/>
  <c r="BU35" l="1"/>
  <c r="BW35"/>
  <c r="N18" i="2"/>
  <c r="L18"/>
  <c r="K18"/>
  <c r="J18"/>
  <c r="D18"/>
  <c r="B18"/>
  <c r="BS18" i="1" l="1"/>
  <c r="BT18"/>
  <c r="BR18"/>
  <c r="BQ18"/>
  <c r="BP18"/>
  <c r="U32" i="45" l="1"/>
  <c r="U31"/>
  <c r="M35" i="5" l="1"/>
  <c r="O35" s="1"/>
  <c r="L35"/>
  <c r="J35"/>
  <c r="F35"/>
  <c r="I35" s="1"/>
  <c r="E35"/>
  <c r="G35" i="51"/>
  <c r="I35" s="1"/>
  <c r="J35" s="1"/>
  <c r="G35" i="4"/>
  <c r="K36" i="3"/>
  <c r="J36"/>
  <c r="G36"/>
  <c r="D36"/>
  <c r="BH34" i="1"/>
  <c r="AV34"/>
  <c r="AL34"/>
  <c r="AO34"/>
  <c r="AN34"/>
  <c r="AM34"/>
  <c r="AH34"/>
  <c r="AD34"/>
  <c r="S34"/>
  <c r="T34" s="1"/>
  <c r="L34"/>
  <c r="N34" s="1"/>
  <c r="W34" s="1"/>
  <c r="X34" s="1"/>
  <c r="CB34"/>
  <c r="CE34"/>
  <c r="P35" i="5" l="1"/>
  <c r="R35" s="1"/>
  <c r="S35" s="1"/>
  <c r="BC34" i="1"/>
  <c r="BV34"/>
  <c r="BX34"/>
  <c r="AX34"/>
  <c r="AP34"/>
  <c r="L36" i="3"/>
  <c r="N36" s="1"/>
  <c r="O36" s="1"/>
  <c r="AZ36" i="1" l="1"/>
  <c r="BU34"/>
  <c r="BW34"/>
  <c r="O34" i="5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BA33" i="1"/>
  <c r="K32" i="3"/>
  <c r="K35"/>
  <c r="AV33" i="1"/>
  <c r="BV33" s="1"/>
  <c r="BX33" l="1"/>
  <c r="G34" i="51"/>
  <c r="I34" s="1"/>
  <c r="J34" s="1"/>
  <c r="G34" i="4"/>
  <c r="J35" i="3"/>
  <c r="G35"/>
  <c r="D35"/>
  <c r="L35" l="1"/>
  <c r="N35" s="1"/>
  <c r="O35" s="1"/>
  <c r="BH33" i="1"/>
  <c r="AX33"/>
  <c r="AL33"/>
  <c r="AO33"/>
  <c r="AN33"/>
  <c r="AM33"/>
  <c r="AH33"/>
  <c r="AD33"/>
  <c r="S33"/>
  <c r="T33" s="1"/>
  <c r="L33"/>
  <c r="N33" s="1"/>
  <c r="W33" s="1"/>
  <c r="X33" s="1"/>
  <c r="CB33"/>
  <c r="CE33"/>
  <c r="AZ35" l="1"/>
  <c r="AP33"/>
  <c r="BU33" s="1"/>
  <c r="BC33"/>
  <c r="BW33" l="1"/>
  <c r="J30" i="5"/>
  <c r="BA32" i="1"/>
  <c r="K34" i="3" l="1"/>
  <c r="G33" i="51" l="1"/>
  <c r="I33" s="1"/>
  <c r="J33" s="1"/>
  <c r="G33" i="4"/>
  <c r="J34" i="3"/>
  <c r="G34"/>
  <c r="D34"/>
  <c r="CB32" i="1"/>
  <c r="CE32"/>
  <c r="BH32"/>
  <c r="AX32"/>
  <c r="AV32"/>
  <c r="AO32"/>
  <c r="AN32"/>
  <c r="AM32"/>
  <c r="AL32"/>
  <c r="AH32"/>
  <c r="AD32"/>
  <c r="T32"/>
  <c r="S32"/>
  <c r="L32"/>
  <c r="BC32" s="1"/>
  <c r="U30" i="45"/>
  <c r="L34" i="3" l="1"/>
  <c r="N34" s="1"/>
  <c r="O34" s="1"/>
  <c r="AZ34" i="1"/>
  <c r="N32"/>
  <c r="W32" s="1"/>
  <c r="X32" s="1"/>
  <c r="BX32"/>
  <c r="BV32"/>
  <c r="AP32"/>
  <c r="BW32" s="1"/>
  <c r="B31" i="5"/>
  <c r="I31"/>
  <c r="BU32" i="1" l="1"/>
  <c r="K19" i="5" l="1"/>
  <c r="N19"/>
  <c r="Q19"/>
  <c r="C19"/>
  <c r="D19"/>
  <c r="F19"/>
  <c r="G19"/>
  <c r="H19"/>
  <c r="B19"/>
  <c r="BY18" i="1"/>
  <c r="BZ18"/>
  <c r="CA18"/>
  <c r="CC18"/>
  <c r="CD18"/>
  <c r="BK18"/>
  <c r="BL18"/>
  <c r="BM18"/>
  <c r="BN18"/>
  <c r="BJ18"/>
  <c r="AW18"/>
  <c r="BB18"/>
  <c r="BD18"/>
  <c r="BE18"/>
  <c r="BF18"/>
  <c r="BG18"/>
  <c r="Y18"/>
  <c r="V18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CE30" i="1"/>
  <c r="CE18" s="1"/>
  <c r="CB30"/>
  <c r="CB18" s="1"/>
  <c r="P19" i="5" l="1"/>
  <c r="R31"/>
  <c r="BX30" i="1"/>
  <c r="BX18" s="1"/>
  <c r="BH30"/>
  <c r="BH18" s="1"/>
  <c r="BA30"/>
  <c r="BA18" s="1"/>
  <c r="AV30"/>
  <c r="AX30" s="1"/>
  <c r="AZ33" l="1"/>
  <c r="AV18"/>
  <c r="BV30"/>
  <c r="BV18" s="1"/>
  <c r="R19" i="5"/>
  <c r="S31"/>
  <c r="S19" s="1"/>
  <c r="AX18" i="1"/>
  <c r="M20" i="3"/>
  <c r="K20"/>
  <c r="I20"/>
  <c r="H20"/>
  <c r="F20"/>
  <c r="E20"/>
  <c r="C20"/>
  <c r="B20"/>
  <c r="F19" i="4"/>
  <c r="E19"/>
  <c r="D19"/>
  <c r="C19"/>
  <c r="B19"/>
  <c r="G19"/>
  <c r="J32" i="3"/>
  <c r="J20" s="1"/>
  <c r="G32"/>
  <c r="G20" s="1"/>
  <c r="D32"/>
  <c r="D20" s="1"/>
  <c r="AS18" i="1"/>
  <c r="AT18"/>
  <c r="AU18"/>
  <c r="AR18"/>
  <c r="AF18"/>
  <c r="AG18"/>
  <c r="AI18"/>
  <c r="AJ18"/>
  <c r="AK18"/>
  <c r="AB18"/>
  <c r="AC18"/>
  <c r="AA18"/>
  <c r="AE18"/>
  <c r="K18"/>
  <c r="M18"/>
  <c r="O18"/>
  <c r="P18"/>
  <c r="Q18"/>
  <c r="R18"/>
  <c r="U18"/>
  <c r="J18"/>
  <c r="AL30"/>
  <c r="AO30"/>
  <c r="AO18" s="1"/>
  <c r="AN30"/>
  <c r="AN18" s="1"/>
  <c r="AM30"/>
  <c r="AM18" s="1"/>
  <c r="AH30"/>
  <c r="AH18" s="1"/>
  <c r="AD30"/>
  <c r="AD18" s="1"/>
  <c r="S30"/>
  <c r="T30" s="1"/>
  <c r="T18" s="1"/>
  <c r="L30"/>
  <c r="BC30" s="1"/>
  <c r="BC18" s="1"/>
  <c r="N30" l="1"/>
  <c r="W30" s="1"/>
  <c r="X30" s="1"/>
  <c r="X18" s="1"/>
  <c r="AP30"/>
  <c r="BW30" s="1"/>
  <c r="BW18" s="1"/>
  <c r="L32" i="3"/>
  <c r="L18" i="1"/>
  <c r="AL18"/>
  <c r="S18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N18" i="1" l="1"/>
  <c r="W18"/>
  <c r="AP18"/>
  <c r="BU30"/>
  <c r="BU18" s="1"/>
  <c r="N32" i="3"/>
  <c r="L20"/>
  <c r="U15" i="45"/>
  <c r="Q15" i="11"/>
  <c r="P15"/>
  <c r="O15"/>
  <c r="N15"/>
  <c r="M15"/>
  <c r="L15"/>
  <c r="K15"/>
  <c r="J15"/>
  <c r="I15"/>
  <c r="H15"/>
  <c r="G15"/>
  <c r="F15"/>
  <c r="E15"/>
  <c r="D15"/>
  <c r="C15"/>
  <c r="B15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I10" i="51"/>
  <c r="J10" s="1"/>
  <c r="G10"/>
  <c r="G9"/>
  <c r="I9" s="1"/>
  <c r="J9" s="1"/>
  <c r="G8"/>
  <c r="I8" s="1"/>
  <c r="J8" s="1"/>
  <c r="G20" i="4"/>
  <c r="G8"/>
  <c r="K31" i="3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K22"/>
  <c r="J22"/>
  <c r="G22"/>
  <c r="D22"/>
  <c r="K21"/>
  <c r="J21"/>
  <c r="G21"/>
  <c r="D21"/>
  <c r="N12"/>
  <c r="O12" s="1"/>
  <c r="D11"/>
  <c r="J10"/>
  <c r="G10"/>
  <c r="D10"/>
  <c r="J9"/>
  <c r="G9"/>
  <c r="L9" s="1"/>
  <c r="N9" s="1"/>
  <c r="D9"/>
  <c r="CE29" i="1"/>
  <c r="CB29"/>
  <c r="BH29"/>
  <c r="BA29"/>
  <c r="AV29"/>
  <c r="AO29"/>
  <c r="AN29"/>
  <c r="AM29"/>
  <c r="AL29"/>
  <c r="AH29"/>
  <c r="AD29"/>
  <c r="S29"/>
  <c r="T29" s="1"/>
  <c r="L29"/>
  <c r="N29" s="1"/>
  <c r="W29" s="1"/>
  <c r="X29" s="1"/>
  <c r="CE28"/>
  <c r="CB28"/>
  <c r="BH28"/>
  <c r="BA28"/>
  <c r="AX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CE26"/>
  <c r="CB26"/>
  <c r="BH26"/>
  <c r="BA26"/>
  <c r="AV26"/>
  <c r="BV26" s="1"/>
  <c r="AO26"/>
  <c r="AN26"/>
  <c r="AM26"/>
  <c r="AL26"/>
  <c r="AH26"/>
  <c r="AD26"/>
  <c r="S26"/>
  <c r="T26" s="1"/>
  <c r="L26"/>
  <c r="N26" s="1"/>
  <c r="W26" s="1"/>
  <c r="X26" s="1"/>
  <c r="CE25"/>
  <c r="CB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BV22" s="1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CE20"/>
  <c r="CB20"/>
  <c r="BH20"/>
  <c r="BA20"/>
  <c r="BX20" s="1"/>
  <c r="AV20"/>
  <c r="BV20" s="1"/>
  <c r="AO20"/>
  <c r="AN20"/>
  <c r="AM20"/>
  <c r="AL20"/>
  <c r="AH20"/>
  <c r="AD20"/>
  <c r="S20"/>
  <c r="T20" s="1"/>
  <c r="L20"/>
  <c r="N20" s="1"/>
  <c r="W20" s="1"/>
  <c r="X20" s="1"/>
  <c r="CE19"/>
  <c r="CB19"/>
  <c r="BH19"/>
  <c r="BA19"/>
  <c r="AV19"/>
  <c r="AO19"/>
  <c r="AN19"/>
  <c r="AM19"/>
  <c r="AL19"/>
  <c r="AH19"/>
  <c r="AD19"/>
  <c r="S19"/>
  <c r="T19" s="1"/>
  <c r="L19"/>
  <c r="BC19" s="1"/>
  <c r="CE10"/>
  <c r="CB10"/>
  <c r="CB9"/>
  <c r="CB8"/>
  <c r="CB7"/>
  <c r="AY7"/>
  <c r="AZ7" s="1"/>
  <c r="L25" i="3" l="1"/>
  <c r="N25" s="1"/>
  <c r="O25" s="1"/>
  <c r="L21"/>
  <c r="N21" s="1"/>
  <c r="O21" s="1"/>
  <c r="L24"/>
  <c r="N24" s="1"/>
  <c r="O24" s="1"/>
  <c r="AX20" i="1"/>
  <c r="L10" i="3"/>
  <c r="L26"/>
  <c r="N26" s="1"/>
  <c r="O26" s="1"/>
  <c r="L29"/>
  <c r="N29" s="1"/>
  <c r="O29" s="1"/>
  <c r="L30"/>
  <c r="N30" s="1"/>
  <c r="L31"/>
  <c r="N31" s="1"/>
  <c r="O31" s="1"/>
  <c r="AZ19" i="1"/>
  <c r="AX26"/>
  <c r="AZ28" s="1"/>
  <c r="AX25"/>
  <c r="AZ27" s="1"/>
  <c r="BV25"/>
  <c r="AP20"/>
  <c r="AX24"/>
  <c r="AZ26" s="1"/>
  <c r="BV24"/>
  <c r="AX23"/>
  <c r="AZ25" s="1"/>
  <c r="BV23"/>
  <c r="AX29"/>
  <c r="AZ32" s="1"/>
  <c r="BV29"/>
  <c r="AP26"/>
  <c r="AX19"/>
  <c r="BV19"/>
  <c r="AP23"/>
  <c r="BW23" s="1"/>
  <c r="AZ20"/>
  <c r="BC24"/>
  <c r="BX26"/>
  <c r="P27" i="5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L23" i="3"/>
  <c r="N23" s="1"/>
  <c r="O23" s="1"/>
  <c r="L28"/>
  <c r="N28" s="1"/>
  <c r="O28" s="1"/>
  <c r="L22"/>
  <c r="N22" s="1"/>
  <c r="O22" s="1"/>
  <c r="L27"/>
  <c r="N27" s="1"/>
  <c r="O27" s="1"/>
  <c r="O30"/>
  <c r="BX24" i="1"/>
  <c r="BX19"/>
  <c r="BC27"/>
  <c r="BC21"/>
  <c r="BX22"/>
  <c r="AP25"/>
  <c r="BW25" s="1"/>
  <c r="BX27"/>
  <c r="AP29"/>
  <c r="BW29" s="1"/>
  <c r="AP19"/>
  <c r="BW19" s="1"/>
  <c r="BX21"/>
  <c r="N24"/>
  <c r="W24" s="1"/>
  <c r="X24" s="1"/>
  <c r="BX25"/>
  <c r="N20" i="3"/>
  <c r="O32"/>
  <c r="O20" s="1"/>
  <c r="AP22" i="1"/>
  <c r="AP28"/>
  <c r="BW28" s="1"/>
  <c r="N19"/>
  <c r="W19" s="1"/>
  <c r="X19" s="1"/>
  <c r="AP21"/>
  <c r="BW21" s="1"/>
  <c r="BC25"/>
  <c r="AP27"/>
  <c r="BW27" s="1"/>
  <c r="AP24"/>
  <c r="BW24" s="1"/>
  <c r="N21"/>
  <c r="W21" s="1"/>
  <c r="X21" s="1"/>
  <c r="N27"/>
  <c r="W27" s="1"/>
  <c r="X27" s="1"/>
  <c r="AY18"/>
  <c r="AZ30"/>
  <c r="AZ18" s="1"/>
  <c r="AX22"/>
  <c r="AZ24" s="1"/>
  <c r="P30" i="5"/>
  <c r="R30" s="1"/>
  <c r="S30" s="1"/>
  <c r="P26"/>
  <c r="R26" s="1"/>
  <c r="S26" s="1"/>
  <c r="P24"/>
  <c r="R24" s="1"/>
  <c r="S24" s="1"/>
  <c r="BU23" i="1"/>
  <c r="AZ22"/>
  <c r="BC20"/>
  <c r="BC26"/>
  <c r="BX23"/>
  <c r="BX29"/>
  <c r="AX21"/>
  <c r="AZ23" s="1"/>
  <c r="AX27"/>
  <c r="BX28"/>
  <c r="BC23"/>
  <c r="BC29"/>
  <c r="BC22"/>
  <c r="BC28"/>
  <c r="AZ21" l="1"/>
  <c r="BU25"/>
  <c r="BU20"/>
  <c r="BW20"/>
  <c r="BU22"/>
  <c r="BW22"/>
  <c r="BU24"/>
  <c r="AZ29"/>
  <c r="BU26"/>
  <c r="BW26"/>
  <c r="BU29"/>
  <c r="BU19"/>
  <c r="BU28"/>
  <c r="BU27"/>
  <c r="BU21"/>
</calcChain>
</file>

<file path=xl/sharedStrings.xml><?xml version="1.0" encoding="utf-8"?>
<sst xmlns="http://schemas.openxmlformats.org/spreadsheetml/2006/main" count="8128" uniqueCount="2714">
  <si>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</si>
  <si>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</si>
  <si>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</si>
  <si>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</si>
  <si>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</si>
  <si>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</si>
  <si>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</si>
  <si>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</si>
  <si>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</si>
  <si>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</si>
  <si>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</si>
  <si>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</si>
  <si>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</si>
  <si>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</si>
  <si>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</si>
  <si>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</si>
  <si>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</si>
  <si>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</si>
  <si>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</si>
  <si>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</si>
  <si>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</si>
  <si>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</si>
  <si>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</si>
  <si>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</si>
  <si>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</si>
  <si>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</si>
  <si>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</si>
  <si>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</si>
  <si>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</si>
  <si>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</si>
  <si>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</si>
  <si>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</si>
  <si>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</si>
  <si>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</si>
  <si>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</si>
  <si>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</si>
  <si>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</si>
  <si>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</si>
  <si>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</si>
  <si>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</si>
  <si>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</si>
  <si>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</si>
  <si>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</si>
  <si>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</si>
  <si>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</si>
  <si>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</si>
  <si>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</si>
  <si>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</si>
  <si>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</si>
  <si>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</si>
  <si>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</si>
  <si>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</si>
  <si>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</si>
  <si>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</si>
  <si>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</si>
  <si>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</si>
  <si>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</si>
  <si>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</si>
  <si>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</si>
  <si>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</si>
  <si>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</si>
  <si>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</si>
  <si>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</si>
  <si>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</si>
  <si>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</si>
  <si>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</si>
  <si>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</si>
  <si>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</si>
  <si>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</si>
  <si>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</si>
  <si>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</si>
  <si>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</si>
  <si>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</si>
  <si>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</si>
  <si>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</si>
  <si>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</si>
  <si>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</si>
  <si>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</si>
  <si>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</si>
  <si>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</si>
  <si>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</si>
  <si>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</si>
  <si>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</si>
  <si>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</si>
  <si>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</si>
  <si>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</si>
  <si>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</si>
  <si>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</si>
  <si>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</si>
  <si>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</si>
  <si>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</si>
  <si>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</si>
  <si>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</si>
  <si>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</si>
  <si>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</si>
  <si>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</si>
  <si>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</si>
  <si>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</si>
  <si>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</si>
  <si>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</si>
  <si>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</si>
  <si>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</si>
  <si>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</si>
  <si>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</si>
  <si>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</si>
  <si>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</si>
  <si>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</si>
  <si>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</si>
  <si>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</si>
  <si>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</si>
  <si>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</si>
  <si>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</si>
  <si>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</si>
  <si>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</si>
  <si>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</si>
  <si>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</si>
  <si>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</si>
  <si>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</si>
  <si>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</si>
  <si>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</si>
  <si>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</si>
  <si>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</si>
  <si>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</si>
  <si>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</si>
  <si>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</si>
  <si>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</si>
  <si>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</si>
  <si>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</si>
  <si>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</si>
  <si>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</si>
  <si>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</si>
  <si>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</si>
  <si>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</si>
  <si>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</si>
  <si>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</si>
  <si>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</si>
  <si>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</si>
  <si>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</si>
  <si>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</si>
  <si>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</si>
  <si>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</si>
  <si>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</si>
  <si>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</si>
  <si>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</si>
  <si>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</si>
  <si>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</si>
  <si>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</si>
  <si>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</si>
  <si>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</si>
  <si>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</si>
  <si>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</si>
  <si>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</si>
  <si>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</si>
  <si>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</si>
  <si>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</si>
  <si>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</si>
  <si>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</si>
  <si>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</si>
  <si>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</si>
  <si>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</si>
  <si>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</si>
  <si>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</si>
  <si>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</si>
  <si>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</si>
  <si>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</si>
  <si>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</si>
  <si>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</si>
  <si>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</si>
  <si>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</si>
  <si>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</si>
  <si>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</si>
  <si>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</si>
  <si>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</si>
  <si>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</si>
  <si>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</si>
  <si>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</si>
  <si>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</si>
  <si>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</si>
  <si>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</si>
  <si>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</si>
  <si>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</si>
  <si>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</si>
  <si>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</si>
  <si>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</si>
  <si>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</si>
  <si>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</si>
  <si>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</si>
  <si>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</si>
  <si>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</si>
  <si>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</si>
  <si>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</si>
  <si>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</si>
  <si>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</si>
  <si>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</si>
  <si>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</si>
  <si>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</si>
  <si>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</si>
  <si>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</si>
  <si>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</si>
  <si>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</si>
  <si>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</si>
  <si>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</si>
  <si>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</si>
  <si>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</si>
  <si>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</si>
  <si>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</si>
  <si>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</si>
  <si>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</si>
  <si>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</si>
  <si>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</si>
  <si>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</si>
  <si>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</si>
  <si>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</si>
  <si>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</si>
  <si>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</si>
  <si>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</si>
  <si>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</si>
  <si>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</si>
  <si>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</si>
  <si>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</si>
  <si>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</si>
  <si>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</si>
  <si>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</si>
  <si>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</si>
  <si>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</si>
  <si>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</si>
  <si>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</si>
  <si>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</si>
  <si>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</si>
  <si>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</si>
  <si>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</si>
  <si>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</si>
  <si>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</si>
  <si>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</si>
  <si>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</si>
  <si>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</si>
  <si>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</si>
  <si>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</si>
  <si>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</si>
  <si>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</si>
  <si>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</si>
  <si>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</si>
  <si>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</si>
  <si>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</si>
  <si>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</si>
  <si>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</si>
  <si>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</si>
  <si>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</si>
  <si>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</si>
  <si>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</si>
  <si>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</si>
  <si>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</si>
  <si>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</si>
  <si>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</si>
  <si>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</si>
  <si>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</si>
  <si>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</si>
  <si>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</si>
  <si>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</si>
  <si>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</si>
  <si>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</si>
  <si>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</si>
  <si>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</si>
  <si>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</si>
  <si>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</si>
  <si>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</si>
  <si>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</si>
  <si>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</si>
  <si>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</si>
  <si>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</si>
  <si>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</si>
  <si>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</si>
  <si>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</si>
  <si>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</si>
  <si>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</si>
  <si>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</si>
  <si>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</si>
  <si>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</si>
  <si>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</si>
  <si>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</si>
  <si>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</si>
  <si>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</si>
  <si>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</si>
  <si>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</si>
  <si>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</si>
  <si>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</si>
  <si>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</si>
  <si>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</si>
  <si>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</si>
  <si>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</si>
  <si>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</si>
  <si>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</si>
  <si>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</si>
  <si>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</si>
  <si>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</si>
  <si>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</si>
  <si>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</si>
  <si>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</si>
  <si>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</si>
  <si>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</si>
  <si>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</si>
  <si>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</si>
  <si>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</si>
  <si>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</si>
  <si>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</si>
  <si>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</si>
  <si>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</si>
  <si>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</si>
  <si>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</si>
  <si>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</si>
  <si>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</si>
  <si>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</si>
  <si>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</si>
  <si>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</si>
  <si>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</si>
  <si>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</si>
  <si>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</si>
  <si>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</si>
  <si>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</si>
  <si>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</si>
  <si>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</si>
  <si>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</si>
  <si>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</si>
  <si>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</si>
  <si>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</si>
  <si>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</si>
  <si>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</si>
  <si>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</si>
  <si>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</si>
  <si>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</si>
  <si>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</si>
  <si>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</si>
  <si>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</si>
  <si>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</si>
  <si>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</si>
  <si>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</si>
  <si>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</si>
  <si>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</si>
  <si>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</si>
  <si>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</si>
  <si>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</si>
  <si>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</si>
  <si>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</si>
  <si>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</si>
  <si>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</si>
  <si>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</si>
  <si>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</si>
  <si>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</si>
  <si>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</si>
  <si>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</si>
  <si>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</si>
  <si>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</si>
  <si>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</si>
  <si>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</si>
  <si>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</si>
  <si>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</si>
  <si>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</si>
  <si>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</si>
  <si>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</si>
  <si>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</si>
  <si>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</si>
  <si>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</si>
  <si>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</si>
  <si>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</si>
  <si>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</si>
  <si>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</si>
  <si>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</si>
  <si>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</si>
  <si>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</si>
  <si>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</si>
  <si>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</si>
  <si>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</si>
  <si>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</si>
  <si>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</si>
  <si>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</si>
  <si>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</si>
  <si>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</si>
  <si>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</si>
  <si>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</si>
  <si>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</si>
  <si>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</si>
  <si>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</si>
  <si>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</si>
  <si>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</si>
  <si>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</si>
  <si>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</si>
  <si>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</si>
  <si>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</si>
  <si>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</si>
  <si>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</si>
  <si>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</si>
  <si>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</si>
  <si>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</si>
  <si>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</si>
  <si>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</si>
  <si>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</si>
  <si>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</si>
  <si>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</si>
  <si>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</si>
  <si>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</si>
  <si>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</si>
  <si>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</si>
  <si>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</si>
  <si>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</si>
  <si>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</si>
  <si>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</si>
  <si>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</si>
  <si>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</si>
  <si>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</si>
  <si>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</si>
  <si>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</si>
  <si>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</si>
  <si>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</si>
  <si>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</si>
  <si>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</si>
  <si>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</si>
  <si>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</si>
  <si>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</si>
  <si>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</si>
  <si>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</si>
  <si>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</si>
  <si>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</si>
  <si>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</si>
  <si>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</si>
  <si>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</si>
  <si>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</si>
  <si>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</si>
  <si>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</si>
  <si>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</si>
  <si>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</si>
  <si>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</si>
  <si>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</si>
  <si>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</si>
  <si>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</si>
  <si>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</si>
  <si>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</si>
  <si>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</si>
  <si>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</si>
  <si>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</si>
  <si>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</si>
  <si>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</si>
  <si>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</si>
  <si>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</si>
  <si>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</si>
  <si>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</si>
  <si>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</si>
  <si>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</si>
  <si>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</si>
  <si>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</si>
  <si>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</si>
  <si>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</si>
  <si>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</si>
  <si>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</si>
  <si>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</si>
  <si>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</si>
  <si>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</si>
  <si>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</si>
  <si>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</si>
  <si>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</si>
  <si>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</si>
  <si>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</si>
  <si>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</si>
  <si>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</si>
  <si>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</si>
  <si>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</si>
  <si>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</si>
  <si>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</si>
  <si>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</si>
  <si>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</si>
  <si>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</si>
  <si>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</si>
  <si>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</si>
  <si>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</si>
  <si>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</si>
  <si>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</si>
  <si>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</si>
  <si>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</si>
  <si>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</si>
  <si>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</si>
  <si>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</si>
  <si>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</si>
  <si>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</si>
  <si>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</si>
  <si>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</si>
  <si>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</si>
  <si>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</si>
  <si>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</si>
  <si>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</si>
  <si>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</si>
  <si>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</si>
  <si>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</si>
  <si>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</si>
  <si>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</si>
  <si>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</si>
  <si>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</si>
  <si>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</si>
  <si>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</si>
  <si>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</si>
  <si>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</si>
  <si>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</si>
  <si>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</si>
  <si>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</si>
  <si>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</si>
  <si>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</si>
  <si>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</si>
  <si>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</si>
  <si>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</si>
  <si>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</si>
  <si>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</si>
  <si>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</si>
  <si>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</si>
  <si>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</si>
  <si>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</si>
  <si>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</si>
  <si>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</si>
  <si>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</si>
  <si>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</si>
  <si>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</si>
  <si>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</si>
  <si>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</si>
  <si>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</si>
  <si>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</si>
  <si>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</si>
  <si>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</si>
  <si>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</si>
  <si>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</si>
  <si>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</si>
  <si>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</si>
  <si>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</si>
  <si>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</si>
  <si>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</si>
  <si>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</si>
  <si>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</si>
  <si>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</si>
  <si>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</si>
  <si>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</si>
  <si>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</si>
  <si>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</si>
  <si>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</si>
  <si>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</si>
  <si>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</si>
  <si>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</si>
  <si>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</si>
  <si>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</si>
  <si>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</si>
  <si>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</si>
  <si>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</si>
  <si>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</si>
  <si>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</si>
  <si>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</si>
  <si>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</si>
  <si>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</si>
  <si>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</si>
  <si>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</si>
  <si>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</si>
  <si>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</si>
  <si>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</si>
  <si>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</si>
  <si>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</si>
  <si>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</si>
  <si>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</si>
  <si>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</si>
  <si>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</si>
  <si>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</si>
  <si>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</si>
  <si>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</si>
  <si>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</si>
  <si>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</si>
  <si>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</si>
  <si>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</si>
  <si>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</si>
  <si>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</si>
  <si>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</si>
  <si>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</si>
  <si>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</si>
  <si>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</si>
  <si>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</si>
  <si>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</si>
  <si>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</si>
  <si>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</si>
  <si>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</si>
  <si>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</si>
  <si>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</si>
  <si>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</si>
  <si>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</si>
  <si>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</si>
  <si>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</si>
  <si>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</si>
  <si>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</si>
  <si>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</si>
  <si>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</si>
  <si>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</si>
  <si>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</si>
  <si>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</si>
  <si>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</si>
  <si>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</si>
  <si>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</si>
  <si>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</si>
  <si>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</si>
  <si>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</si>
  <si>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</si>
  <si>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</si>
  <si>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</si>
  <si>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</si>
  <si>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</si>
  <si>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</si>
  <si>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</si>
  <si>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</si>
  <si>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</si>
  <si>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</si>
  <si>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</si>
  <si>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</si>
  <si>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</si>
  <si>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</si>
  <si>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</si>
  <si>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</si>
  <si>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</si>
  <si>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</si>
  <si>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</si>
  <si>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</si>
  <si>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</si>
  <si>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</si>
  <si>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</si>
  <si>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</si>
  <si>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</si>
  <si>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</si>
  <si>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</si>
  <si>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</si>
  <si>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</si>
  <si>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</si>
  <si>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</si>
  <si>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</si>
  <si>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</si>
  <si>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</si>
  <si>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</si>
  <si>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</si>
  <si>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</si>
  <si>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</si>
  <si>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</si>
  <si>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</si>
  <si>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</si>
  <si>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</si>
  <si>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</si>
  <si>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</si>
  <si>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</si>
  <si>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</si>
  <si>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</si>
  <si>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</si>
  <si>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</si>
  <si>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</si>
  <si>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</si>
  <si>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</si>
  <si>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</si>
  <si>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</si>
  <si>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</si>
  <si>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</si>
  <si>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</si>
  <si>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</si>
  <si>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</si>
  <si>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</si>
  <si>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</si>
  <si>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</si>
  <si>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</si>
  <si>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</si>
  <si>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</si>
  <si>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</si>
  <si>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</si>
  <si>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</si>
  <si>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</si>
  <si>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</si>
  <si>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</si>
  <si>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</si>
  <si>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</si>
  <si>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</si>
  <si>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</si>
  <si>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</si>
  <si>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</si>
  <si>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</si>
  <si>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</si>
  <si>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</si>
  <si>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</si>
  <si>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</si>
  <si>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</si>
  <si>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</si>
  <si>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</si>
  <si>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</si>
  <si>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</si>
  <si>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</si>
  <si>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</si>
  <si>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</si>
  <si>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</si>
  <si>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</si>
  <si>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</si>
  <si>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</si>
  <si>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</si>
  <si>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</si>
  <si>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</si>
  <si>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</si>
  <si>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</si>
  <si>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</si>
  <si>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</si>
  <si>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</si>
  <si>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</si>
  <si>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</si>
  <si>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</si>
  <si>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</si>
  <si>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</si>
  <si>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</si>
  <si>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</si>
  <si>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</si>
  <si>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</si>
  <si>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</si>
  <si>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</si>
  <si>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</si>
  <si>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</si>
  <si>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</si>
  <si>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</si>
  <si>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</si>
  <si>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</si>
  <si>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</si>
  <si>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</si>
  <si>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</si>
  <si>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</si>
  <si>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</si>
  <si>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</si>
  <si>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</si>
  <si>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</si>
  <si>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</si>
  <si>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</si>
  <si>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</si>
  <si>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</si>
  <si>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</si>
  <si>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</si>
  <si>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</si>
  <si>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</si>
  <si>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</si>
  <si>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</si>
  <si>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</si>
  <si>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</si>
  <si>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</si>
  <si>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</si>
  <si>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</si>
  <si>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</si>
  <si>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</si>
  <si>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</si>
  <si>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</si>
  <si>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</si>
  <si>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</si>
  <si>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</si>
  <si>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</si>
  <si>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</si>
  <si>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</si>
  <si>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</si>
  <si>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</si>
  <si>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</si>
  <si>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</si>
  <si>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</si>
  <si>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</si>
  <si>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</si>
  <si>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</si>
  <si>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</si>
  <si>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</si>
  <si>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</si>
  <si>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</si>
  <si>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</si>
  <si>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</si>
  <si>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</si>
  <si>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</si>
  <si>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</si>
  <si>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</si>
  <si>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</si>
  <si>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</si>
  <si>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</si>
  <si>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</si>
  <si>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</si>
  <si>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</si>
  <si>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</si>
  <si>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</si>
  <si>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</si>
  <si>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</si>
  <si>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</si>
  <si>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</si>
  <si>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</si>
  <si>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</si>
  <si>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</si>
  <si>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</si>
  <si>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</si>
  <si>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</si>
  <si>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</si>
  <si>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</si>
  <si>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</si>
  <si>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</si>
  <si>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</si>
  <si>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</si>
  <si>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</si>
  <si>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</si>
  <si>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</si>
  <si>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</si>
  <si>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</si>
  <si>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</si>
  <si>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</si>
  <si>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</si>
  <si>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</si>
  <si>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</si>
  <si>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</si>
  <si>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</si>
  <si>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</si>
  <si>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</si>
  <si>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</si>
  <si>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</si>
  <si>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</si>
  <si>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</si>
  <si>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</si>
  <si>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</si>
  <si>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</si>
  <si>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</si>
  <si>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</si>
  <si>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</si>
  <si>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</si>
  <si>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</si>
  <si>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</si>
  <si>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</si>
  <si>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</si>
  <si>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</si>
  <si>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</si>
  <si>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</si>
  <si>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</si>
  <si>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</si>
  <si>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</si>
  <si>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</si>
  <si>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</si>
  <si>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</si>
  <si>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</si>
  <si>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</si>
  <si>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</si>
  <si>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</si>
  <si>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</si>
  <si>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</si>
  <si>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</si>
  <si>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</si>
  <si>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</si>
  <si>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</si>
  <si>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</si>
  <si>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</si>
  <si>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</si>
  <si>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</si>
  <si>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</si>
  <si>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</si>
  <si>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</si>
  <si>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</si>
  <si>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</si>
  <si>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</si>
  <si>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</si>
  <si>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</si>
  <si>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</si>
  <si>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</si>
  <si>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</si>
  <si>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</si>
  <si>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</si>
  <si>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</si>
  <si>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</si>
  <si>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</si>
  <si>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</si>
  <si>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</si>
  <si>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</si>
  <si>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</si>
  <si>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</si>
  <si>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</si>
  <si>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</si>
  <si>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</si>
  <si>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</si>
  <si>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</si>
  <si>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</si>
  <si>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</si>
  <si>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</si>
  <si>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</si>
  <si>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</si>
  <si>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</si>
  <si>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</si>
  <si>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</si>
  <si>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</si>
  <si>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</si>
  <si>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</si>
  <si>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</si>
  <si>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</si>
  <si>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</si>
  <si>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</si>
  <si>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</si>
  <si>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</si>
  <si>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</si>
  <si>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</si>
  <si>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</si>
  <si>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</si>
  <si>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</si>
  <si>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</si>
  <si>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</si>
  <si>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</si>
  <si>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</si>
  <si>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</si>
  <si>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</si>
  <si>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</si>
  <si>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</si>
  <si>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</si>
  <si>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</si>
  <si>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</si>
  <si>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</si>
  <si>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</si>
  <si>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</si>
  <si>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</si>
  <si>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</si>
  <si>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</si>
  <si>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</si>
  <si>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</si>
  <si>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</si>
  <si>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</si>
  <si>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</si>
  <si>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</si>
  <si>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</si>
  <si>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</si>
  <si>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</si>
  <si>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</si>
  <si>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</si>
  <si>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</si>
  <si>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</si>
  <si>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</si>
  <si>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</si>
  <si>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</si>
  <si>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</si>
  <si>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</si>
  <si>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</si>
  <si>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</si>
  <si>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</si>
  <si>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</si>
  <si>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</si>
  <si>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</si>
  <si>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</si>
  <si>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</si>
  <si>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</si>
  <si>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</si>
  <si>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</si>
  <si>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</si>
  <si>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</si>
  <si>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</si>
  <si>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</si>
  <si>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</si>
  <si>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</si>
  <si>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</si>
  <si>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</si>
  <si>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</si>
  <si>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</si>
  <si>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</si>
  <si>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</si>
  <si>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</si>
  <si>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</si>
  <si>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</si>
  <si>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</si>
  <si>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</si>
  <si>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</si>
  <si>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</si>
  <si>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</si>
  <si>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</si>
  <si>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</si>
  <si>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</si>
  <si>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</si>
  <si>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</si>
  <si>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</si>
  <si>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</si>
  <si>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</si>
  <si>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</si>
  <si>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</si>
  <si>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</si>
  <si>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</si>
  <si>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</si>
  <si>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</si>
  <si>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</si>
  <si>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</si>
  <si>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</si>
  <si>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</si>
  <si>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</si>
  <si>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</si>
  <si>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</si>
  <si>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</si>
  <si>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</si>
  <si>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</si>
  <si>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</si>
  <si>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</si>
  <si>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</si>
  <si>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</si>
  <si>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</si>
  <si>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</si>
  <si>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</si>
  <si>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</si>
  <si>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</si>
  <si>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</si>
  <si>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</si>
  <si>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</si>
  <si>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</si>
  <si>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</si>
  <si>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</si>
  <si>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</si>
  <si>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</si>
  <si>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</si>
  <si>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</si>
  <si>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</si>
  <si>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</si>
  <si>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</si>
  <si>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</si>
  <si>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</si>
  <si>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</si>
  <si>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</si>
  <si>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</si>
  <si>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</si>
  <si>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</si>
  <si>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</si>
  <si>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</si>
  <si>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</si>
  <si>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</si>
  <si>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</si>
  <si>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</si>
  <si>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</si>
  <si>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</si>
  <si>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</si>
  <si>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</si>
  <si>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</si>
  <si>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</si>
  <si>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</si>
  <si>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</si>
  <si>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</si>
  <si>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</si>
  <si>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</si>
  <si>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</si>
  <si>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</si>
  <si>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</si>
  <si>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</si>
  <si>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</si>
  <si>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</si>
  <si>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</si>
  <si>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</si>
  <si>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</si>
  <si>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</si>
  <si>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</si>
  <si>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</si>
  <si>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</si>
  <si>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</si>
  <si>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</si>
  <si>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</si>
  <si>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</si>
  <si>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</si>
  <si>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</si>
  <si>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</si>
  <si>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</si>
  <si>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</si>
  <si>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</si>
  <si>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</si>
  <si>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</si>
  <si>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</si>
  <si>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</si>
  <si>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</si>
  <si>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</si>
  <si>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</si>
  <si>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</si>
  <si>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</si>
  <si>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</si>
  <si>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</si>
  <si>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</si>
  <si>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</si>
  <si>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</si>
  <si>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</si>
  <si>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</si>
  <si>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</si>
  <si>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</si>
  <si>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</si>
  <si>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</si>
  <si>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</si>
  <si>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</si>
  <si>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</si>
  <si>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</si>
  <si>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</si>
  <si>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</si>
  <si>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</si>
  <si>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</si>
  <si>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</si>
  <si>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</si>
  <si>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</si>
  <si>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</si>
  <si>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</si>
  <si>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</si>
  <si>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</si>
  <si>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</si>
  <si>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</si>
  <si>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</si>
  <si>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</si>
  <si>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</si>
  <si>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</si>
  <si>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</si>
  <si>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</si>
  <si>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</si>
  <si>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</si>
  <si>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</si>
  <si>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</si>
  <si>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</si>
  <si>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</si>
  <si>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</si>
  <si>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</si>
  <si>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</si>
  <si>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</si>
  <si>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</si>
  <si>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</si>
  <si>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</si>
  <si>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</si>
  <si>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</si>
  <si>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</si>
  <si>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</si>
  <si>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</si>
  <si>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</si>
  <si>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</si>
  <si>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</si>
  <si>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</si>
  <si>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</si>
  <si>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</si>
  <si>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</si>
  <si>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</si>
  <si>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</si>
  <si>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</si>
  <si>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</si>
  <si>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</si>
  <si>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</si>
  <si>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</si>
  <si>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</si>
  <si>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</si>
  <si>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</si>
  <si>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</si>
  <si>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</si>
  <si>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</si>
  <si>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</si>
  <si>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</si>
  <si>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</si>
  <si>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</si>
  <si>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</si>
  <si>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</si>
  <si>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</si>
  <si>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</si>
  <si>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</si>
  <si>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</si>
  <si>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</si>
  <si>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</si>
  <si>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</si>
  <si>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</si>
  <si>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</si>
  <si>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</si>
  <si>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</si>
  <si>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</si>
  <si>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</si>
  <si>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</si>
  <si>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</si>
  <si>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</si>
  <si>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</si>
  <si>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</si>
  <si>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</si>
  <si>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</si>
  <si>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</si>
  <si>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</si>
  <si>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</si>
  <si>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</si>
  <si>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</si>
  <si>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</si>
  <si>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</si>
  <si>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</si>
  <si>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</si>
  <si>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</si>
  <si>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</si>
  <si>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</si>
  <si>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</si>
  <si>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</si>
  <si>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</si>
  <si>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</si>
  <si>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</si>
  <si>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</si>
  <si>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</si>
  <si>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</si>
  <si>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</si>
  <si>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</si>
  <si>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</si>
  <si>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</si>
  <si>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</si>
  <si>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</si>
  <si>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</si>
  <si>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</si>
  <si>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</si>
  <si>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</si>
  <si>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</si>
  <si>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</si>
  <si>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</si>
  <si>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</si>
  <si>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</si>
  <si>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</si>
  <si>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</si>
  <si>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</si>
  <si>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</si>
  <si>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</si>
  <si>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</si>
  <si>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</si>
  <si>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</si>
  <si>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</si>
  <si>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</si>
  <si>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</si>
  <si>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</si>
  <si>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</si>
  <si>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</si>
  <si>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</si>
  <si>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</si>
  <si>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</si>
  <si>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</si>
  <si>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</si>
  <si>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</si>
  <si>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</si>
  <si>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</si>
  <si>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</si>
  <si>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</si>
  <si>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</si>
  <si>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</si>
  <si>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</si>
  <si>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</si>
  <si>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</si>
  <si>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</si>
  <si>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</si>
  <si>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</si>
  <si>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</si>
  <si>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</si>
  <si>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</si>
  <si>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</si>
  <si>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</si>
  <si>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</si>
  <si>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</si>
  <si>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</si>
  <si>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</si>
  <si>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</si>
  <si>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</si>
  <si>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</si>
  <si>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</si>
  <si>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</si>
  <si>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</si>
  <si>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</si>
  <si>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</si>
  <si>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</si>
  <si>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</si>
  <si>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</si>
  <si>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</si>
  <si>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</si>
  <si>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</si>
  <si>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</si>
  <si>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</si>
  <si>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</si>
  <si>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</si>
  <si>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</si>
  <si>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</si>
  <si>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</si>
  <si>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</si>
  <si>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</si>
  <si>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</si>
  <si>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</si>
  <si>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</si>
  <si>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</si>
  <si>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</si>
  <si>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</si>
  <si>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</si>
  <si>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</si>
  <si>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</si>
  <si>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</si>
  <si>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</si>
  <si>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</si>
  <si>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</si>
  <si>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</si>
  <si>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</si>
  <si>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</si>
  <si>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</si>
  <si>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</si>
  <si>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</si>
  <si>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</si>
  <si>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</si>
  <si>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</si>
  <si>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</si>
  <si>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</si>
  <si>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</si>
  <si>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</si>
  <si>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</si>
  <si>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</si>
  <si>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</si>
  <si>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</si>
  <si>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</si>
  <si>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</si>
  <si>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</si>
  <si>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</si>
  <si>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</si>
  <si>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</si>
  <si>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</si>
  <si>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</si>
  <si>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</si>
  <si>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</si>
  <si>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</si>
  <si>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</si>
  <si>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</si>
  <si>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</si>
  <si>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</si>
  <si>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</si>
  <si>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</si>
  <si>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</si>
  <si>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</si>
  <si>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</si>
  <si>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</si>
  <si>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</si>
  <si>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</si>
  <si>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</si>
  <si>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</si>
  <si>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</si>
  <si>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</si>
  <si>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</si>
  <si>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</si>
  <si>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</si>
  <si>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</si>
  <si>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</si>
  <si>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</si>
  <si>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</si>
  <si>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</si>
  <si>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</si>
  <si>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</si>
  <si>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</si>
  <si>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</si>
  <si>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</si>
  <si>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</si>
  <si>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</si>
  <si>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</si>
  <si>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</si>
  <si>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</si>
  <si>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</si>
  <si>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</si>
  <si>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</si>
  <si>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</si>
  <si>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</si>
  <si>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</si>
  <si>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</si>
  <si>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</si>
  <si>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</si>
  <si>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</si>
  <si>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</si>
  <si>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</si>
  <si>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</si>
  <si>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</si>
  <si>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</si>
  <si>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</si>
  <si>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</si>
  <si>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</si>
  <si>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</si>
  <si>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</si>
  <si>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</si>
  <si>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</si>
  <si>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</si>
  <si>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</si>
  <si>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</si>
  <si>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</si>
  <si>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</si>
  <si>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</si>
  <si>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</si>
  <si>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</si>
  <si>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</si>
  <si>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</si>
  <si>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</si>
  <si>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</si>
  <si>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</si>
  <si>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</si>
  <si>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</si>
  <si>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</si>
  <si>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</si>
  <si>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</si>
  <si>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</si>
  <si>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</si>
  <si>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</si>
  <si>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</si>
  <si>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</si>
  <si>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</si>
  <si>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</si>
  <si>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</si>
  <si>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</si>
  <si>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</si>
  <si>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</si>
  <si>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</si>
  <si>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</si>
  <si>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</si>
  <si>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</si>
  <si>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</si>
  <si>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</si>
  <si>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</si>
  <si>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</si>
  <si>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</si>
  <si>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</si>
  <si>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</si>
  <si>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</si>
  <si>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</si>
  <si>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</si>
  <si>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</si>
  <si>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</si>
  <si>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</si>
  <si>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</si>
  <si>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</si>
  <si>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</si>
  <si>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</si>
  <si>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</si>
  <si>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</si>
  <si>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</si>
  <si>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</si>
  <si>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</si>
  <si>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</si>
  <si>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</si>
  <si>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</si>
  <si>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</si>
  <si>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</si>
  <si>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</si>
  <si>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</si>
  <si>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</si>
  <si>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</si>
  <si>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</si>
  <si>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</si>
  <si>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</si>
  <si>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</si>
  <si>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</si>
  <si>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</si>
  <si>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</si>
  <si>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</si>
  <si>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</si>
  <si>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</si>
  <si>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</si>
  <si>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</si>
  <si>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</si>
  <si>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</si>
  <si>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</si>
  <si>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</si>
  <si>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</si>
  <si>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</si>
  <si>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</si>
  <si>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</si>
  <si>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</si>
  <si>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</si>
  <si>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</si>
  <si>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</si>
  <si>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</si>
  <si>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</si>
  <si>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</si>
  <si>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</si>
  <si>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</si>
  <si>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</si>
  <si>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</si>
  <si>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</si>
  <si>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</si>
  <si>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</si>
  <si>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</si>
  <si>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</si>
  <si>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</si>
  <si>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</si>
  <si>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</si>
  <si>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</si>
  <si>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</si>
  <si>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</si>
  <si>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</si>
  <si>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</si>
  <si>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</si>
  <si>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</si>
  <si>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</si>
  <si>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</si>
  <si>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</si>
  <si>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</si>
  <si>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</si>
  <si>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</si>
  <si>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</si>
  <si>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</si>
  <si>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</si>
  <si>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</si>
  <si>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</si>
  <si>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</si>
  <si>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</si>
  <si>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</si>
  <si>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</si>
  <si>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</si>
  <si>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</si>
  <si>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</si>
  <si>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</si>
  <si>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</si>
  <si>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</si>
  <si>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</si>
  <si>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</si>
  <si>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</si>
  <si>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</si>
  <si>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</si>
  <si>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</si>
  <si>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</si>
  <si>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</si>
  <si>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</si>
  <si>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</si>
  <si>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</si>
  <si>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</si>
  <si>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</si>
  <si>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</si>
  <si>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</si>
  <si>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</si>
  <si>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</si>
  <si>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</si>
  <si>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</si>
  <si>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</si>
  <si>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</si>
  <si>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</si>
  <si>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</si>
  <si>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</si>
  <si>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</si>
  <si>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</si>
  <si>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</si>
  <si>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</si>
  <si>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</si>
  <si>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</si>
  <si>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</si>
  <si>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</si>
  <si>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</si>
  <si>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</si>
  <si>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</si>
  <si>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</si>
  <si>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</si>
  <si>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</si>
  <si>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</si>
  <si>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</si>
  <si>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</si>
  <si>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</si>
  <si>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</si>
  <si>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</si>
  <si>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</si>
  <si>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</si>
  <si>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</si>
  <si>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</si>
  <si>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</si>
  <si>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</si>
  <si>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</si>
  <si>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</si>
  <si>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</si>
  <si>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</si>
  <si>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</si>
  <si>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</si>
  <si>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</si>
  <si>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</si>
  <si>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</si>
  <si>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</si>
  <si>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</si>
  <si>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</si>
  <si>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</si>
  <si>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</si>
  <si>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</si>
  <si>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</si>
  <si>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</si>
  <si>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</si>
  <si>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</si>
  <si>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</si>
  <si>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</si>
  <si>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</si>
  <si>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</si>
  <si>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</si>
  <si>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</si>
  <si>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</si>
  <si>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</si>
  <si>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</si>
  <si>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</si>
  <si>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</si>
  <si>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</si>
  <si>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</si>
  <si>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</si>
  <si>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</si>
  <si>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</si>
  <si>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</si>
  <si>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</si>
  <si>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</si>
  <si>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</si>
  <si>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</si>
  <si>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</si>
  <si>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</si>
  <si>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</si>
  <si>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</si>
  <si>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</si>
  <si>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</si>
  <si>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</si>
  <si>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</si>
  <si>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</si>
  <si>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</si>
  <si>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</si>
  <si>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</si>
  <si>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</si>
  <si>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</si>
  <si>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</si>
  <si>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</si>
  <si>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</si>
  <si>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</si>
  <si>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</si>
  <si>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</si>
  <si>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</si>
  <si>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</si>
  <si>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</si>
  <si>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</si>
  <si>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</si>
  <si>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</si>
  <si>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</si>
  <si>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</si>
  <si>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</si>
  <si>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</si>
  <si>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</si>
  <si>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</si>
  <si>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</si>
  <si>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</si>
  <si>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</si>
  <si>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</si>
  <si>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</si>
  <si>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</si>
  <si>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</si>
  <si>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</si>
  <si>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</si>
  <si>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</si>
  <si>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</si>
  <si>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</si>
  <si>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</si>
  <si>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</si>
  <si>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</si>
  <si>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</si>
  <si>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</si>
  <si>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</si>
  <si>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</si>
  <si>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</si>
  <si>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</si>
  <si>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</si>
  <si>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</si>
  <si>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</si>
  <si>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</si>
  <si>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</si>
  <si>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</si>
  <si>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</si>
  <si>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</si>
  <si>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</si>
  <si>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</si>
  <si>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</si>
  <si>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</si>
  <si>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</si>
  <si>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</si>
  <si>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</si>
  <si>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</si>
  <si>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</si>
  <si>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</si>
  <si>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</si>
  <si>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</si>
  <si>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</si>
  <si>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</si>
  <si>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</si>
  <si>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</si>
  <si>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</si>
  <si>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</si>
  <si>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</si>
  <si>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</si>
  <si>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</si>
  <si>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</si>
  <si>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</si>
  <si>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</si>
  <si>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</si>
  <si>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</si>
  <si>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</si>
  <si>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</si>
  <si>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</si>
  <si>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</si>
  <si>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</si>
  <si>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</si>
  <si>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</si>
  <si>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</si>
  <si>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</si>
  <si>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</si>
  <si>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</si>
  <si>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</si>
  <si>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</si>
  <si>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</si>
  <si>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</si>
  <si>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</si>
  <si>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</si>
  <si>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</si>
  <si>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</si>
  <si>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</si>
  <si>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</si>
  <si>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</si>
  <si>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</si>
  <si>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</si>
  <si>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</si>
  <si>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</si>
  <si>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</si>
  <si>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</si>
  <si>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</si>
  <si>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</si>
  <si>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</si>
  <si>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</si>
  <si>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</si>
  <si>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</si>
  <si>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</si>
  <si>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</si>
  <si>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</si>
  <si>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</si>
  <si>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</si>
  <si>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</si>
  <si>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</si>
  <si>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</si>
  <si>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</si>
  <si>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</si>
  <si>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</si>
  <si>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</si>
  <si>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</si>
  <si>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</si>
  <si>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</si>
  <si>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</si>
  <si>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</si>
  <si>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</si>
  <si>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</si>
  <si>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</si>
  <si>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</si>
  <si>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</si>
  <si>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</si>
  <si>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</si>
  <si>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</si>
  <si>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</si>
  <si>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</si>
  <si>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</si>
  <si>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</si>
  <si>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</si>
  <si>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</si>
  <si>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</si>
  <si>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</si>
  <si>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</si>
  <si>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</si>
  <si>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</si>
  <si>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</si>
  <si>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</si>
  <si>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</si>
  <si>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</si>
  <si>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</si>
  <si>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</si>
  <si>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</si>
  <si>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</si>
  <si>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</si>
  <si>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</si>
  <si>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</si>
  <si>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</si>
  <si>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</si>
  <si>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</si>
  <si>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</si>
  <si>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</si>
  <si>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</si>
  <si>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</si>
  <si>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</si>
  <si>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</si>
  <si>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</si>
  <si>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</si>
  <si>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</si>
  <si>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</si>
  <si>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</si>
  <si>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</si>
  <si>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</si>
  <si>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</si>
  <si>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</si>
  <si>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</si>
  <si>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</si>
  <si>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</si>
  <si>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</si>
  <si>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</si>
  <si>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</si>
  <si>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</si>
  <si>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</si>
  <si>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</si>
  <si>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</si>
  <si>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</si>
  <si>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</si>
  <si>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</si>
  <si>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</si>
  <si>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</si>
  <si>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</si>
  <si>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</si>
  <si>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</si>
  <si>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</si>
  <si>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</si>
  <si>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</si>
  <si>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</si>
  <si>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</si>
  <si>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</si>
  <si>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</si>
  <si>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</si>
  <si>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</si>
  <si>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</si>
  <si>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</si>
  <si>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</si>
  <si>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</si>
  <si>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</si>
  <si>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</si>
  <si>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</si>
  <si>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</si>
  <si>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</si>
  <si>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</si>
  <si>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</si>
  <si>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</si>
  <si>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</si>
  <si>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</si>
  <si>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</si>
  <si>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</si>
  <si>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</si>
  <si>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</si>
  <si>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</si>
  <si>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</si>
  <si>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</si>
  <si>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</si>
  <si>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</si>
  <si>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</si>
  <si>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</si>
  <si>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</si>
  <si>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</si>
  <si>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</si>
  <si>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</si>
  <si>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</si>
  <si>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</si>
  <si>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</si>
  <si>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</si>
  <si>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</si>
  <si>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</si>
  <si>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</si>
  <si>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</si>
  <si>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</si>
  <si>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</si>
  <si>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</si>
  <si>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</si>
  <si>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</si>
  <si>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</si>
  <si>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</si>
  <si>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</si>
  <si>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</si>
  <si>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</si>
  <si>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</si>
  <si>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</si>
  <si>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</si>
  <si>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</si>
  <si>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</si>
  <si>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</si>
  <si>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</si>
  <si>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</si>
  <si>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</si>
  <si>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</si>
  <si>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</si>
  <si>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</si>
  <si>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</si>
  <si>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</si>
  <si>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</si>
  <si>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</si>
  <si>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</si>
  <si>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</si>
  <si>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</si>
  <si>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</si>
  <si>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</si>
  <si>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</si>
  <si>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</si>
  <si>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</si>
  <si>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</si>
  <si>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</si>
  <si>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</si>
  <si>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</si>
  <si>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</si>
  <si>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</si>
  <si>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</si>
  <si>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</si>
  <si>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</si>
  <si>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</si>
  <si>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</si>
  <si>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</si>
  <si>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</si>
  <si>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</si>
  <si>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</si>
  <si>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</si>
  <si>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</si>
  <si>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</si>
  <si>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</si>
  <si>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</si>
  <si>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</si>
  <si>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</si>
  <si>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</si>
  <si>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</si>
  <si>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</si>
  <si>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</si>
  <si>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</si>
  <si>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</si>
  <si>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</si>
  <si>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</si>
  <si>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</si>
  <si>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</si>
  <si>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</si>
  <si>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</si>
  <si>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</si>
  <si>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</si>
  <si>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</si>
  <si>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</si>
  <si>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</si>
  <si>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</si>
  <si>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</si>
  <si>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</si>
  <si>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</si>
  <si>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</si>
  <si>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</si>
  <si>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</si>
  <si>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</si>
  <si>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</si>
  <si>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</si>
  <si>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</si>
  <si>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</si>
  <si>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</si>
  <si>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</si>
  <si>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</si>
  <si>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</si>
  <si>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</si>
  <si>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</si>
  <si>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</si>
  <si>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</si>
  <si>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</si>
  <si>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</si>
  <si>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</si>
  <si>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</si>
  <si>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</si>
  <si>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</si>
  <si>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</si>
  <si>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</si>
  <si>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</si>
  <si>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</si>
  <si>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</si>
  <si>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</si>
  <si>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</si>
  <si>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</si>
  <si>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</si>
  <si>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</si>
  <si>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</si>
  <si>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</si>
  <si>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</si>
  <si>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</si>
  <si>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</si>
  <si>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</si>
  <si>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</si>
  <si>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</si>
  <si>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</si>
  <si>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</si>
  <si>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</si>
  <si>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</si>
  <si>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</si>
  <si>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</si>
  <si>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</si>
  <si>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</si>
  <si>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</si>
  <si>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</si>
  <si>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</si>
  <si>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</si>
  <si>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</si>
  <si>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</si>
  <si>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</si>
  <si>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</si>
  <si>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</si>
  <si>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</si>
  <si>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</si>
  <si>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</si>
  <si>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</si>
  <si>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</si>
  <si>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</si>
  <si>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</si>
  <si>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</si>
  <si>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</si>
  <si>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</si>
  <si>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</si>
  <si>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</si>
  <si>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</si>
  <si>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</si>
  <si>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</si>
  <si>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</si>
  <si>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</si>
  <si>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</si>
  <si>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</si>
  <si>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</si>
  <si>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</si>
  <si>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</si>
  <si>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</si>
  <si>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</si>
  <si>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</si>
  <si>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</si>
  <si>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</si>
  <si>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</si>
  <si>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</si>
  <si>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</si>
  <si>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</si>
  <si>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</si>
  <si>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</si>
  <si>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</si>
  <si>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</si>
  <si>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</si>
  <si>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</si>
  <si>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</si>
  <si>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</si>
  <si>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</si>
  <si>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</si>
  <si>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</si>
  <si>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</si>
  <si>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</si>
  <si>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</si>
  <si>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</si>
  <si>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</si>
  <si>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</si>
  <si>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</si>
  <si>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</si>
  <si>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</si>
  <si>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</si>
  <si>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</si>
  <si>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</si>
  <si>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</si>
  <si>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</si>
  <si>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</si>
  <si>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</si>
  <si>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</si>
  <si>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</si>
  <si>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</si>
  <si>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</si>
  <si>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</si>
  <si>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</si>
  <si>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</si>
  <si>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</si>
  <si>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</si>
  <si>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</si>
  <si>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</si>
  <si>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</si>
  <si>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</si>
  <si>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</si>
  <si>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</si>
  <si>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</si>
  <si>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</si>
  <si>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</si>
  <si>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</si>
  <si>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</si>
  <si>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</si>
  <si>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</si>
  <si>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</si>
  <si>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</si>
  <si>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</si>
  <si>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</si>
  <si>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</si>
  <si>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</si>
  <si>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</si>
  <si>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</si>
  <si>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</si>
  <si>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</si>
  <si>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</si>
  <si>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</si>
  <si>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</si>
  <si>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</si>
  <si>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</si>
  <si>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</si>
  <si>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</si>
  <si>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</si>
  <si>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</si>
  <si>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</si>
  <si>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</si>
  <si>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</si>
  <si>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</si>
  <si>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</si>
  <si>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</si>
  <si>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</si>
  <si>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</si>
  <si>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</si>
  <si>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</si>
  <si>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</si>
  <si>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</si>
  <si>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</si>
  <si>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</si>
  <si>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</si>
  <si>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</si>
  <si>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</si>
  <si>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</si>
  <si>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</si>
  <si>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</si>
  <si>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</si>
  <si>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</si>
  <si>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</si>
  <si>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</si>
  <si>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</si>
  <si>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</si>
  <si>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Deputy Director</t>
  </si>
  <si>
    <t xml:space="preserve">Deputy Director            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</si>
  <si>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</si>
  <si>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</si>
  <si>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</si>
  <si>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</si>
  <si>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</si>
  <si>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</si>
  <si>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</si>
  <si>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</si>
  <si>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</si>
  <si>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</si>
  <si>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</si>
  <si>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</si>
  <si>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</si>
  <si>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</si>
  <si>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</si>
  <si>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</si>
  <si>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</si>
  <si>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</si>
  <si>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</si>
  <si>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</si>
  <si>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</si>
  <si>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</si>
  <si>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</si>
  <si>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</si>
  <si>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</si>
  <si>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</si>
  <si>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</si>
  <si>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</si>
  <si>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</si>
  <si>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</si>
  <si>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</si>
  <si>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</si>
  <si>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</si>
  <si>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</si>
  <si>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</si>
  <si>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</si>
  <si>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</si>
  <si>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</si>
  <si>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</si>
  <si>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</si>
  <si>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</si>
  <si>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</si>
  <si>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</si>
  <si>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</si>
  <si>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</si>
  <si>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</si>
  <si>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</si>
  <si>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</si>
  <si>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</si>
  <si>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</si>
  <si>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</si>
  <si>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</si>
  <si>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</si>
  <si>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</si>
  <si>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</si>
  <si>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</si>
  <si>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</si>
  <si>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</si>
  <si>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</si>
  <si>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</si>
  <si>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</si>
  <si>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</si>
  <si>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</si>
  <si>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</si>
  <si>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</si>
  <si>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</si>
  <si>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</si>
  <si>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</si>
  <si>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</si>
  <si>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</si>
  <si>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</si>
  <si>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</si>
  <si>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</si>
  <si>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</si>
  <si>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</si>
  <si>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</si>
  <si>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</si>
  <si>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</si>
  <si>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</si>
  <si>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</si>
  <si>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</si>
  <si>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</si>
  <si>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</si>
  <si>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</si>
  <si>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</si>
  <si>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</si>
  <si>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</si>
  <si>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</si>
  <si>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</si>
  <si>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</si>
  <si>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</si>
  <si>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</si>
  <si>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</si>
  <si>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</si>
  <si>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</si>
  <si>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</si>
  <si>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</si>
  <si>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</si>
  <si>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</si>
  <si>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</si>
  <si>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</si>
  <si>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</si>
  <si>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</si>
  <si>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</si>
  <si>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</si>
  <si>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</si>
  <si>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</si>
  <si>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</si>
  <si>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</si>
  <si>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</si>
  <si>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</si>
  <si>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</si>
  <si>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</si>
  <si>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</si>
  <si>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</si>
  <si>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</si>
  <si>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</si>
  <si>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</si>
  <si>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</si>
  <si>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</si>
  <si>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</si>
  <si>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</si>
  <si>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</si>
  <si>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</si>
  <si>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</si>
  <si>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</si>
  <si>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</si>
  <si>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</si>
  <si>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</si>
  <si>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</si>
  <si>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</si>
  <si>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</si>
  <si>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</si>
  <si>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</si>
  <si>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</si>
  <si>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</si>
  <si>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</si>
  <si>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</si>
  <si>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</si>
  <si>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</si>
  <si>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</si>
  <si>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</si>
  <si>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</si>
  <si>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</si>
  <si>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</si>
  <si>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</si>
  <si>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</si>
  <si>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</si>
  <si>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</si>
  <si>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</si>
  <si>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</si>
  <si>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</si>
  <si>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</si>
  <si>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</si>
  <si>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</si>
  <si>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</si>
  <si>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</si>
  <si>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</si>
  <si>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</si>
  <si>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</si>
  <si>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</si>
  <si>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</si>
  <si>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</si>
  <si>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</si>
  <si>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</si>
  <si>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</si>
  <si>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</si>
  <si>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</si>
  <si>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</si>
  <si>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</si>
  <si>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</si>
  <si>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</si>
  <si>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</si>
  <si>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</si>
  <si>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</si>
  <si>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</si>
  <si>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</si>
  <si>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</si>
  <si>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</si>
  <si>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</si>
  <si>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</si>
  <si>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</si>
  <si>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</si>
  <si>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</si>
  <si>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</si>
  <si>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</si>
  <si>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</si>
  <si>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</si>
  <si>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</si>
  <si>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</si>
  <si>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</si>
  <si>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</si>
  <si>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</si>
  <si>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</si>
  <si>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</si>
  <si>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</si>
  <si>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</si>
  <si>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</si>
  <si>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</si>
  <si>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</si>
  <si>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</si>
  <si>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</si>
  <si>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</si>
  <si>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</si>
  <si>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</si>
  <si>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</si>
  <si>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</si>
  <si>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</si>
  <si>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</si>
  <si>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</si>
  <si>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</si>
  <si>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</si>
  <si>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</si>
  <si>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</si>
  <si>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</si>
  <si>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</si>
  <si>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</si>
  <si>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</si>
  <si>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</si>
  <si>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</si>
  <si>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</si>
  <si>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</si>
  <si>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</si>
  <si>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</si>
  <si>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</si>
  <si>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</si>
  <si>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</si>
  <si>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</si>
  <si>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</si>
  <si>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</si>
  <si>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</si>
  <si>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</si>
  <si>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</si>
  <si>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</si>
  <si>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</si>
  <si>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</si>
  <si>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</si>
  <si>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</si>
  <si>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</si>
  <si>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</si>
  <si>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</si>
  <si>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</si>
  <si>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</si>
  <si>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</si>
  <si>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</si>
  <si>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</si>
  <si>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</si>
  <si>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</si>
  <si>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</si>
  <si>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</si>
  <si>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</si>
  <si>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</si>
  <si>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</si>
  <si>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</si>
  <si>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</si>
  <si>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</si>
  <si>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</si>
  <si>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</si>
  <si>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</si>
  <si>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</si>
  <si>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</si>
  <si>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</si>
  <si>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</si>
  <si>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</si>
  <si>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</si>
  <si>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</si>
  <si>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</si>
  <si>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</si>
  <si>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</si>
  <si>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</si>
  <si>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</si>
  <si>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</si>
  <si>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</si>
  <si>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</si>
  <si>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</si>
  <si>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</si>
  <si>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</si>
  <si>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</si>
  <si>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</si>
  <si>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</si>
  <si>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</si>
  <si>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</si>
  <si>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</si>
  <si>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</si>
  <si>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</si>
  <si>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</si>
  <si>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</si>
  <si>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</si>
  <si>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</si>
  <si>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</si>
  <si>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</si>
  <si>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</si>
  <si>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</si>
  <si>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</si>
  <si>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</si>
  <si>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</si>
  <si>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</si>
  <si>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</si>
  <si>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</si>
  <si>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</si>
  <si>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</si>
  <si>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</si>
  <si>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</si>
  <si>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</si>
  <si>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</si>
  <si>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</si>
  <si>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</si>
  <si>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</si>
  <si>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</si>
  <si>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</si>
  <si>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</si>
  <si>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</si>
  <si>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</si>
  <si>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</si>
  <si>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</si>
  <si>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</si>
  <si>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</si>
  <si>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</si>
  <si>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</si>
  <si>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</si>
  <si>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</si>
  <si>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</si>
  <si>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</si>
  <si>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</si>
  <si>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</si>
  <si>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</si>
  <si>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</si>
  <si>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</si>
  <si>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</si>
  <si>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</si>
  <si>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</si>
  <si>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</si>
  <si>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</si>
  <si>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</si>
  <si>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</si>
  <si>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</si>
  <si>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</si>
  <si>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</si>
  <si>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</si>
  <si>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</si>
  <si>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</si>
  <si>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</si>
  <si>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</si>
  <si>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</si>
  <si>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</si>
  <si>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</si>
  <si>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</si>
  <si>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</si>
  <si>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</si>
  <si>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</si>
  <si>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</si>
  <si>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</si>
  <si>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</si>
  <si>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</si>
  <si>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</si>
  <si>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</si>
  <si>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</si>
  <si>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</si>
  <si>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</si>
  <si>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</si>
  <si>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</si>
  <si>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</si>
  <si>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</si>
  <si>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</si>
  <si>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</si>
  <si>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</si>
  <si>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</si>
  <si>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</si>
  <si>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</si>
  <si>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</si>
  <si>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</si>
  <si>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</si>
  <si>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</si>
  <si>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</si>
  <si>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</si>
  <si>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</si>
  <si>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</si>
  <si>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</si>
  <si>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</si>
  <si>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</si>
  <si>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</si>
  <si>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</si>
  <si>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</si>
  <si>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</si>
  <si>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</si>
  <si>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</si>
  <si>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</si>
  <si>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</si>
  <si>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</si>
  <si>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</si>
  <si>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</si>
  <si>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</si>
  <si>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</si>
  <si>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</si>
  <si>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</si>
  <si>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</si>
  <si>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</si>
  <si>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</si>
  <si>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2.75-4.00</t>
  </si>
  <si>
    <t>1.25-1.75</t>
  </si>
  <si>
    <t>3.25-3.50</t>
  </si>
  <si>
    <t>4.50-6.25</t>
  </si>
  <si>
    <t>0.50-3.25</t>
  </si>
  <si>
    <t>6.50-7.25</t>
  </si>
  <si>
    <t>7.00-8.50</t>
  </si>
  <si>
    <t>2.00-2.50</t>
  </si>
  <si>
    <t>2.50-3.75</t>
  </si>
  <si>
    <t>1.50-3.00</t>
  </si>
  <si>
    <t>6.00-6.25</t>
  </si>
  <si>
    <t>2.00-7.50</t>
  </si>
  <si>
    <t>1.50-5.50</t>
  </si>
  <si>
    <t>2.50-3.25</t>
  </si>
  <si>
    <t>3.25-7.00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</si>
  <si>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</si>
  <si>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</si>
  <si>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</si>
  <si>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</si>
  <si>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</si>
  <si>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</si>
  <si>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</si>
  <si>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</si>
  <si>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</si>
  <si>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</si>
  <si>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</si>
  <si>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</si>
  <si>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</si>
  <si>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</si>
  <si>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</si>
  <si>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</si>
  <si>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</si>
  <si>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</si>
  <si>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</si>
  <si>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</si>
  <si>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</si>
  <si>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</si>
  <si>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</si>
  <si>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</si>
  <si>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</si>
  <si>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</si>
  <si>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</si>
  <si>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</si>
  <si>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</si>
  <si>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</si>
  <si>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</si>
  <si>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</si>
  <si>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</si>
  <si>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</si>
  <si>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</si>
  <si>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</si>
  <si>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</si>
  <si>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</si>
  <si>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</si>
  <si>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</si>
  <si>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</si>
  <si>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</si>
  <si>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</si>
  <si>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</si>
  <si>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</si>
  <si>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</si>
  <si>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</si>
  <si>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</si>
  <si>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</si>
  <si>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</si>
  <si>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</si>
  <si>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</si>
  <si>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</si>
  <si>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</si>
  <si>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</si>
  <si>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2.75-6.50</t>
  </si>
  <si>
    <t>6.99-9.00</t>
  </si>
  <si>
    <t>0.55-0.85</t>
  </si>
  <si>
    <t>4.50-6.15</t>
  </si>
  <si>
    <t>2.50-6.50</t>
  </si>
  <si>
    <t>4.50-6.50</t>
  </si>
  <si>
    <t>4.50-6.75</t>
  </si>
  <si>
    <t>6.25-6.50</t>
  </si>
  <si>
    <t>0.25-5.50</t>
  </si>
  <si>
    <t>0.30-6.00</t>
  </si>
  <si>
    <t>7.99-8.49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</si>
  <si>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</si>
  <si>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</si>
  <si>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</si>
  <si>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</si>
  <si>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</si>
  <si>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</si>
  <si>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</si>
  <si>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</si>
  <si>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</si>
  <si>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</si>
  <si>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</si>
  <si>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</si>
  <si>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</si>
  <si>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</si>
  <si>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</si>
  <si>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4.25-6.50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</si>
  <si>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</si>
  <si>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</si>
  <si>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</si>
  <si>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</si>
  <si>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</si>
  <si>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</si>
  <si>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</si>
  <si>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</si>
  <si>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</si>
  <si>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</si>
  <si>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</si>
  <si>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</si>
  <si>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</si>
  <si>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</si>
  <si>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</si>
  <si>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5.75-6.00</t>
  </si>
  <si>
    <t>5.85-6.00</t>
  </si>
  <si>
    <t>5.50-6.33</t>
  </si>
  <si>
    <t>4.00-5.75</t>
  </si>
  <si>
    <t>4.25-6.00</t>
  </si>
  <si>
    <t>2.25-6.35</t>
  </si>
  <si>
    <t>5.50-6.75</t>
  </si>
  <si>
    <t>5.50-7.00</t>
  </si>
  <si>
    <t>5.00-6.33</t>
  </si>
  <si>
    <t>1.25-4.00</t>
  </si>
  <si>
    <t>4.50-6.38</t>
  </si>
  <si>
    <t>4.50-6.33</t>
  </si>
  <si>
    <t>4.50-6.63</t>
  </si>
  <si>
    <t>2.00-5.81</t>
  </si>
  <si>
    <t>2.50-5.85</t>
  </si>
  <si>
    <t>3.00-5.90</t>
  </si>
  <si>
    <t>4.75-6.50</t>
  </si>
  <si>
    <t>5.00-6.75</t>
  </si>
  <si>
    <t>4.00-7.50</t>
  </si>
  <si>
    <t>6.25-6.75</t>
  </si>
  <si>
    <t>2.00-5.25</t>
  </si>
  <si>
    <t>4.50-6.35</t>
  </si>
  <si>
    <t>3.00-6.33</t>
  </si>
  <si>
    <t>3.50-6.33</t>
  </si>
  <si>
    <t>3.75-6.33</t>
  </si>
  <si>
    <t>6.35-7.00</t>
  </si>
  <si>
    <t>6.75-7.00</t>
  </si>
  <si>
    <t>3.75-6.00</t>
  </si>
  <si>
    <t>5.50-6.50</t>
  </si>
  <si>
    <t>0.05-4.00</t>
  </si>
  <si>
    <t>4.50-5.00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</si>
  <si>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</si>
  <si>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</si>
  <si>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</si>
  <si>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</si>
  <si>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</si>
  <si>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</si>
  <si>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</si>
  <si>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</si>
  <si>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</si>
  <si>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5.50-6.17</t>
  </si>
  <si>
    <t>6.13-6.42</t>
  </si>
  <si>
    <t>3.75-7.00</t>
  </si>
  <si>
    <t>5.25-6.45</t>
  </si>
  <si>
    <t>6.25-6.45</t>
  </si>
  <si>
    <t>6.00-6.53</t>
  </si>
  <si>
    <t>6.53-7.11</t>
  </si>
  <si>
    <t>4.25-6.35</t>
  </si>
  <si>
    <t>4.75-6.35</t>
  </si>
  <si>
    <t>4.50-7.00</t>
  </si>
  <si>
    <t>4.50-6.70</t>
  </si>
  <si>
    <t>3.00-6.70</t>
  </si>
  <si>
    <t>4.00-6.70</t>
  </si>
  <si>
    <t>5.50-6.70</t>
  </si>
  <si>
    <t>2.50-7.00</t>
  </si>
  <si>
    <t>6.65-8.00</t>
  </si>
  <si>
    <t>0.25-4.00</t>
  </si>
  <si>
    <t>9.00-10.00</t>
  </si>
  <si>
    <t>Glass       Sheets</t>
  </si>
  <si>
    <t xml:space="preserve">i) BBS: Cotton Yarn, Cotton Cloth, Cigarettes, Oil Products, Food Products &amp; Matches        </t>
  </si>
  <si>
    <t>January 2023</t>
  </si>
  <si>
    <t>07.12.22</t>
  </si>
  <si>
    <t>14.12.22</t>
  </si>
  <si>
    <t>BD0932231105</t>
  </si>
  <si>
    <t>21.12.22</t>
  </si>
  <si>
    <t>21.12.32</t>
  </si>
  <si>
    <t>28.12.22</t>
  </si>
  <si>
    <t>BD0942241201</t>
  </si>
  <si>
    <t>28.12.42</t>
  </si>
  <si>
    <t>Data Of BD(Govt) Treasury Bond updated  as on 31 December, 2022</t>
  </si>
  <si>
    <r>
      <t>November</t>
    </r>
    <r>
      <rPr>
        <vertAlign val="superscript"/>
        <sz val="7.5"/>
        <color indexed="8"/>
        <rFont val="Times New Roman"/>
        <family val="1"/>
      </rPr>
      <t>R</t>
    </r>
  </si>
  <si>
    <t xml:space="preserve"> IN BANGLADESH (EXCEPT ISLAMIC BANKS), December 2022</t>
  </si>
  <si>
    <t>IN BANGLADESH (EXCEPT ISLAMIC BANKS), December 2022</t>
  </si>
  <si>
    <t>IN BANGLADESH(EXCEPT ISLAMIC BANKS), December 2022</t>
  </si>
  <si>
    <t>Bank-wise Announced Interest Rate Structure in Bangladesh (Except Islamic Banks), December 2022</t>
  </si>
  <si>
    <t>0.19-1.73</t>
  </si>
  <si>
    <t>2.39-6.14</t>
  </si>
  <si>
    <t>3.11-6.18</t>
  </si>
  <si>
    <t>3.36-6.29</t>
  </si>
  <si>
    <t>3.83-6.22</t>
  </si>
  <si>
    <t>5.75-6.75</t>
  </si>
  <si>
    <t>6.00-7.13</t>
  </si>
  <si>
    <t>6.50-7.13</t>
  </si>
  <si>
    <t>7.00-7.13</t>
  </si>
  <si>
    <t>6.75-7.25</t>
  </si>
  <si>
    <t>7.00-7.25</t>
  </si>
  <si>
    <t>4.25-7.00</t>
  </si>
  <si>
    <t>4.00-7.00</t>
  </si>
  <si>
    <t>1.57-3.74</t>
  </si>
  <si>
    <t>3.24-6.48</t>
  </si>
  <si>
    <t>5.54-6.48</t>
  </si>
  <si>
    <t>6.38-6.48</t>
  </si>
  <si>
    <t>6.48-6.63</t>
  </si>
  <si>
    <t>4.00-6.96</t>
  </si>
  <si>
    <t>1.50-7.00</t>
  </si>
  <si>
    <t>0.05-6.96</t>
  </si>
  <si>
    <t>3.51-6.96</t>
  </si>
  <si>
    <t>0.03-3.48</t>
  </si>
  <si>
    <t>3.50-6.66</t>
  </si>
  <si>
    <t>4.75-6.75</t>
  </si>
  <si>
    <t>5.00-7.00</t>
  </si>
  <si>
    <t>1.25-6.96</t>
  </si>
  <si>
    <t>1.50-6.96</t>
  </si>
  <si>
    <t>1.75-6.96</t>
  </si>
  <si>
    <t>3.00-6.96</t>
  </si>
  <si>
    <t>2.25-7.25</t>
  </si>
  <si>
    <t>2.00-7.25</t>
  </si>
  <si>
    <t>2.75-7.25</t>
  </si>
  <si>
    <t>9.00-12.00</t>
  </si>
  <si>
    <r>
      <t>August</t>
    </r>
    <r>
      <rPr>
        <vertAlign val="superscript"/>
        <sz val="8"/>
        <color theme="1"/>
        <rFont val="Times New Roman"/>
        <family val="1"/>
      </rPr>
      <t>R</t>
    </r>
  </si>
  <si>
    <r>
      <t>Cash Reserve Require-ment</t>
    </r>
    <r>
      <rPr>
        <vertAlign val="superscript"/>
        <sz val="9"/>
        <rFont val="Times New Roman"/>
        <family val="1"/>
      </rPr>
      <t>R</t>
    </r>
  </si>
  <si>
    <t xml:space="preserve"> Data of Bangladesh Govt. Investment Sukuk updated  as on 31 December, 2022</t>
  </si>
  <si>
    <t>SPTB BKB</t>
  </si>
  <si>
    <t>29.11.22</t>
  </si>
  <si>
    <t>29.11.25</t>
  </si>
  <si>
    <t>Note: Data of Other Treasury Bond updated  as on 31 December, 2022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</si>
</sst>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6"/>
      <color theme="1"/>
      <name val="Calibri"/>
      <family val="2"/>
      <scheme val="minor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2" fillId="0" borderId="0"/>
    <xf numFmtId="0" fontId="202" fillId="0" borderId="0"/>
    <xf numFmtId="0" fontId="202" fillId="0" borderId="0"/>
  </cellStyleXfs>
  <cellXfs count="2408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2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5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8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0" fillId="0" borderId="61" xfId="0" applyFont="1" applyBorder="1"/>
    <xf numFmtId="2" fontId="110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2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1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1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5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4" xfId="0" applyFont="1" applyFill="1" applyBorder="1" applyAlignment="1">
      <alignment vertical="center"/>
    </xf>
    <xf numFmtId="0" fontId="0" fillId="0" borderId="0" xfId="0"/>
    <xf numFmtId="0" fontId="122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164" fontId="193" fillId="0" borderId="0" xfId="0" applyNumberFormat="1" applyFont="1" applyFill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4" fontId="38" fillId="0" borderId="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5" fillId="0" borderId="0" xfId="0" applyFont="1" applyFill="1"/>
    <xf numFmtId="0" fontId="195" fillId="34" borderId="0" xfId="0" applyFont="1" applyFill="1"/>
    <xf numFmtId="164" fontId="195" fillId="34" borderId="0" xfId="0" applyNumberFormat="1" applyFont="1" applyFill="1"/>
    <xf numFmtId="0" fontId="196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1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1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3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8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9" fillId="0" borderId="0" xfId="196" applyFont="1" applyAlignment="1">
      <alignment horizontal="left" vertical="top"/>
    </xf>
    <xf numFmtId="0" fontId="40" fillId="0" borderId="6" xfId="0" applyFont="1" applyFill="1" applyBorder="1" applyAlignment="1">
      <alignment horizontal="left" vertical="center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201" fillId="0" borderId="0" xfId="0" applyFont="1"/>
    <xf numFmtId="0" fontId="198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3" fillId="34" borderId="6" xfId="0" applyFont="1" applyFill="1" applyBorder="1" applyAlignment="1">
      <alignment horizontal="left" vertical="center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62" xfId="0" applyNumberFormat="1" applyFont="1" applyBorder="1" applyAlignment="1"/>
    <xf numFmtId="2" fontId="110" fillId="0" borderId="62" xfId="0" applyNumberFormat="1" applyFont="1" applyBorder="1" applyAlignment="1">
      <alignment horizontal="center" vertical="center"/>
    </xf>
    <xf numFmtId="2" fontId="110" fillId="0" borderId="6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2" fontId="13" fillId="34" borderId="6" xfId="0" applyNumberFormat="1" applyFont="1" applyFill="1" applyBorder="1" applyAlignment="1">
      <alignment horizontal="left" vertical="center"/>
    </xf>
    <xf numFmtId="164" fontId="82" fillId="0" borderId="0" xfId="0" applyNumberFormat="1" applyFont="1" applyAlignment="1">
      <alignment horizontal="left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left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164" fontId="118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166" fontId="15" fillId="0" borderId="0" xfId="0" applyNumberFormat="1" applyFont="1" applyBorder="1"/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6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30" fillId="0" borderId="0" xfId="0" applyNumberFormat="1" applyFont="1" applyFill="1" applyBorder="1"/>
    <xf numFmtId="1" fontId="189" fillId="0" borderId="0" xfId="0" applyNumberFormat="1" applyFont="1"/>
    <xf numFmtId="1" fontId="0" fillId="0" borderId="0" xfId="0" applyNumberFormat="1"/>
    <xf numFmtId="164" fontId="203" fillId="0" borderId="0" xfId="0" applyNumberFormat="1" applyFont="1"/>
    <xf numFmtId="2" fontId="13" fillId="34" borderId="6" xfId="0" applyNumberFormat="1" applyFont="1" applyFill="1" applyBorder="1" applyAlignment="1">
      <alignment horizontal="center" vertical="center"/>
    </xf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2" fontId="10" fillId="0" borderId="41" xfId="0" applyNumberFormat="1" applyFont="1" applyBorder="1" applyAlignment="1">
      <alignment horizontal="right" vertical="center" wrapText="1"/>
    </xf>
    <xf numFmtId="166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/>
    <xf numFmtId="2" fontId="110" fillId="34" borderId="6" xfId="0" applyNumberFormat="1" applyFont="1" applyFill="1" applyBorder="1" applyAlignment="1">
      <alignment horizontal="center" vertical="center" wrapText="1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2" fontId="33" fillId="0" borderId="0" xfId="0" applyNumberFormat="1" applyFont="1" applyAlignment="1">
      <alignment vertical="center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right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203" fillId="0" borderId="0" xfId="0" applyFont="1"/>
    <xf numFmtId="1" fontId="203" fillId="0" borderId="0" xfId="0" applyNumberFormat="1" applyFont="1"/>
    <xf numFmtId="164" fontId="201" fillId="0" borderId="0" xfId="0" applyNumberFormat="1" applyFont="1"/>
    <xf numFmtId="1" fontId="201" fillId="0" borderId="0" xfId="0" applyNumberFormat="1" applyFont="1"/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5" fillId="0" borderId="6" xfId="0" applyFont="1" applyFill="1" applyBorder="1" applyAlignment="1"/>
    <xf numFmtId="0" fontId="123" fillId="0" borderId="63" xfId="0" applyFont="1" applyBorder="1" applyAlignment="1">
      <alignment horizontal="center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5" fillId="0" borderId="6" xfId="0" applyFont="1" applyFill="1" applyBorder="1" applyAlignment="1">
      <alignment horizontal="left" vertical="top" wrapText="1"/>
    </xf>
    <xf numFmtId="0" fontId="20" fillId="0" borderId="43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4" fontId="110" fillId="34" borderId="6" xfId="0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3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1" fontId="60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8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1" xfId="0" applyNumberFormat="1" applyFont="1" applyFill="1" applyBorder="1" applyAlignment="1">
      <alignment horizontal="center" vertical="center" wrapText="1"/>
    </xf>
    <xf numFmtId="49" fontId="127" fillId="0" borderId="45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4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0" fontId="122" fillId="0" borderId="47" xfId="0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8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51" xfId="0" applyFont="1" applyFill="1" applyBorder="1" applyAlignment="1">
      <alignment horizontal="center" vertical="center"/>
    </xf>
    <xf numFmtId="0" fontId="124" fillId="0" borderId="45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8" fillId="0" borderId="44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/>
    </xf>
    <xf numFmtId="49" fontId="110" fillId="0" borderId="45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horizontal="center" vertical="center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8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1" xfId="0" applyNumberFormat="1" applyFont="1" applyFill="1" applyBorder="1" applyAlignment="1">
      <alignment horizontal="center" vertical="center" wrapText="1"/>
    </xf>
    <xf numFmtId="49" fontId="120" fillId="0" borderId="51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1" xfId="0" applyFont="1" applyFill="1" applyBorder="1" applyAlignment="1">
      <alignment horizontal="center" vertical="center" wrapText="1"/>
    </xf>
    <xf numFmtId="0" fontId="122" fillId="0" borderId="5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8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1" xfId="0" applyFont="1" applyFill="1" applyBorder="1" applyAlignment="1">
      <alignment horizontal="center" vertical="center" wrapText="1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30" fillId="0" borderId="45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45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4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4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8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1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4" xfId="0" applyNumberFormat="1" applyFont="1" applyFill="1" applyBorder="1" applyAlignment="1">
      <alignment horizontal="left" vertical="center" wrapText="1"/>
    </xf>
    <xf numFmtId="49" fontId="137" fillId="0" borderId="45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45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42" xfId="0" applyNumberFormat="1" applyFont="1" applyFill="1" applyBorder="1" applyAlignment="1">
      <alignment horizontal="center" vertical="center"/>
    </xf>
    <xf numFmtId="1" fontId="128" fillId="0" borderId="44" xfId="0" applyNumberFormat="1" applyFont="1" applyFill="1" applyBorder="1" applyAlignment="1">
      <alignment horizontal="center" vertical="center" wrapText="1"/>
    </xf>
    <xf numFmtId="1" fontId="170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1" xfId="0" applyFont="1" applyBorder="1" applyAlignment="1">
      <alignment horizontal="right"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4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4" xfId="0" applyFont="1" applyBorder="1" applyAlignment="1">
      <alignment horizontal="left"/>
    </xf>
    <xf numFmtId="0" fontId="123" fillId="0" borderId="62" xfId="0" applyFont="1" applyBorder="1" applyAlignment="1">
      <alignment horizontal="left"/>
    </xf>
    <xf numFmtId="0" fontId="123" fillId="0" borderId="6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1" xfId="0" applyFont="1" applyBorder="1" applyAlignment="1">
      <alignment horizontal="right"/>
    </xf>
    <xf numFmtId="0" fontId="110" fillId="0" borderId="42" xfId="0" applyFont="1" applyBorder="1" applyAlignment="1">
      <alignment horizontal="right"/>
    </xf>
    <xf numFmtId="0" fontId="110" fillId="0" borderId="44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 wrapText="1"/>
    </xf>
    <xf numFmtId="0" fontId="163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3" fillId="0" borderId="44" xfId="0" applyFont="1" applyBorder="1" applyAlignment="1">
      <alignment horizontal="center"/>
    </xf>
    <xf numFmtId="0" fontId="123" fillId="0" borderId="62" xfId="0" applyFont="1" applyBorder="1" applyAlignment="1">
      <alignment horizontal="center"/>
    </xf>
    <xf numFmtId="0" fontId="123" fillId="0" borderId="63" xfId="0" applyFont="1" applyBorder="1" applyAlignment="1">
      <alignment horizontal="center"/>
    </xf>
    <xf numFmtId="0" fontId="163" fillId="0" borderId="44" xfId="0" applyFont="1" applyBorder="1" applyAlignment="1">
      <alignment horizontal="center" vertical="top" wrapText="1"/>
    </xf>
    <xf numFmtId="0" fontId="133" fillId="0" borderId="45" xfId="0" applyFont="1" applyBorder="1" applyAlignment="1">
      <alignment horizontal="center" vertical="top" wrapText="1"/>
    </xf>
    <xf numFmtId="0" fontId="181" fillId="0" borderId="45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20" fillId="0" borderId="44" xfId="196" applyFont="1" applyBorder="1" applyAlignment="1">
      <alignment horizontal="center"/>
    </xf>
    <xf numFmtId="0" fontId="15" fillId="0" borderId="42" xfId="196" applyFont="1" applyBorder="1"/>
    <xf numFmtId="0" fontId="15" fillId="0" borderId="43" xfId="196" applyFont="1" applyBorder="1"/>
    <xf numFmtId="0" fontId="120" fillId="0" borderId="42" xfId="196" applyFont="1" applyBorder="1" applyAlignment="1">
      <alignment horizontal="center"/>
    </xf>
    <xf numFmtId="0" fontId="120" fillId="0" borderId="43" xfId="196" applyFont="1" applyBorder="1" applyAlignment="1">
      <alignment horizontal="center"/>
    </xf>
    <xf numFmtId="0" fontId="120" fillId="0" borderId="4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4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</xdr:row>
      <xdr:rowOff>47625</xdr:rowOff>
    </xdr:from>
    <xdr:to>
      <xdr:col>10</xdr:col>
      <xdr:colOff>0</xdr:colOff>
      <xdr:row>27</xdr:row>
      <xdr:rowOff>47625</xdr:rowOff>
    </xdr:to>
    <xdr:pic>
      <xdr:nvPicPr>
        <xdr:cNvPr id="7" name="Picture 6" descr="D:\After leave\ET FOR YEAR 2023\Ma file\Cover January,23.pn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928688"/>
          <a:ext cx="5262563" cy="585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opLeftCell="A13" zoomScale="80" zoomScaleNormal="80" workbookViewId="0">
      <selection activeCell="L31" sqref="L31"/>
    </sheetView>
  </sheetViews>
  <sheetFormatPr defaultRowHeight="12.75"/>
  <cols>
    <col min="1" max="1" width="3.42578125" style="198" customWidth="1"/>
    <col min="2" max="2" width="3.28515625" style="85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6.5" customHeight="1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1.2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405" customFormat="1" ht="31.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78" t="s">
        <v>2454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405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49" t="s">
        <v>2455</v>
      </c>
      <c r="P8" s="1749"/>
      <c r="Q8" s="1749"/>
      <c r="R8" s="1749"/>
      <c r="S8" s="1749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405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79"/>
      <c r="P9" s="1480" t="s">
        <v>2456</v>
      </c>
      <c r="Q9" s="1481"/>
      <c r="R9" s="1481"/>
      <c r="S9" s="1481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4"/>
      <c r="O10" s="724"/>
      <c r="P10" s="724"/>
      <c r="Q10" s="724"/>
      <c r="R10" s="724"/>
      <c r="S10" s="724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4"/>
      <c r="O11" s="724"/>
      <c r="P11" s="743"/>
      <c r="Q11" s="744" t="s">
        <v>860</v>
      </c>
      <c r="R11" s="743"/>
      <c r="S11" s="724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4"/>
      <c r="O12" s="724"/>
      <c r="P12" s="730"/>
      <c r="Q12" s="730"/>
      <c r="R12" s="730"/>
      <c r="S12" s="724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4"/>
      <c r="O13" s="724"/>
      <c r="P13" s="730"/>
      <c r="Q13" s="745" t="s">
        <v>861</v>
      </c>
      <c r="R13" s="730"/>
      <c r="S13" s="724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4"/>
      <c r="O14" s="1752" t="s">
        <v>2441</v>
      </c>
      <c r="P14" s="1752"/>
      <c r="Q14" s="1752"/>
      <c r="R14" s="1752"/>
      <c r="S14" s="1752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50" t="s">
        <v>1768</v>
      </c>
      <c r="O15" s="1750"/>
      <c r="P15" s="1750"/>
      <c r="Q15" s="1750"/>
      <c r="R15" s="1750"/>
      <c r="S15" s="1750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3"/>
      <c r="O16" s="843"/>
      <c r="P16" s="844"/>
      <c r="Q16" s="844"/>
      <c r="R16" s="844"/>
      <c r="S16" s="843"/>
      <c r="T16" s="408"/>
      <c r="W16" s="924"/>
      <c r="X16" s="963"/>
    </row>
    <row r="17" spans="1:21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4"/>
      <c r="O17" s="724"/>
      <c r="P17" s="730"/>
      <c r="Q17" s="730"/>
      <c r="R17" s="730"/>
      <c r="S17" s="724"/>
      <c r="T17" s="408"/>
    </row>
    <row r="18" spans="1:21" ht="39.75" customHeight="1">
      <c r="A18" s="199"/>
      <c r="B18" s="437"/>
      <c r="C18" s="199"/>
      <c r="D18" s="388"/>
      <c r="E18" s="199"/>
      <c r="F18" s="1762"/>
      <c r="G18" s="1762"/>
      <c r="H18" s="1762"/>
      <c r="I18" s="1762"/>
      <c r="J18" s="1762"/>
      <c r="K18" s="199"/>
      <c r="M18" s="407"/>
      <c r="N18" s="724"/>
      <c r="O18" s="724"/>
      <c r="P18" s="730"/>
      <c r="Q18" s="745" t="s">
        <v>862</v>
      </c>
      <c r="R18" s="730"/>
      <c r="S18" s="724"/>
      <c r="T18" s="408"/>
    </row>
    <row r="19" spans="1:21" ht="50.25" customHeight="1">
      <c r="A19" s="199"/>
      <c r="B19" s="437"/>
      <c r="C19" s="199"/>
      <c r="D19" s="388"/>
      <c r="E19" s="1763"/>
      <c r="F19" s="1763"/>
      <c r="G19" s="1763"/>
      <c r="H19" s="1763"/>
      <c r="I19" s="1763"/>
      <c r="J19" s="1763"/>
      <c r="K19" s="1763"/>
      <c r="M19" s="407"/>
      <c r="N19" s="724"/>
      <c r="O19" s="724"/>
      <c r="P19" s="1776" t="s">
        <v>2442</v>
      </c>
      <c r="Q19" s="1776"/>
      <c r="R19" s="1776"/>
      <c r="S19" s="1776"/>
      <c r="T19" s="408"/>
    </row>
    <row r="20" spans="1:21" ht="39.75" customHeight="1">
      <c r="A20" s="199"/>
      <c r="B20" s="437"/>
      <c r="C20" s="199"/>
      <c r="D20" s="388"/>
      <c r="E20" s="389"/>
      <c r="F20" s="1777"/>
      <c r="G20" s="1777"/>
      <c r="H20" s="1777"/>
      <c r="I20" s="1777"/>
      <c r="J20" s="1777"/>
      <c r="K20" s="389"/>
      <c r="M20" s="407"/>
      <c r="N20" s="724"/>
      <c r="O20" s="724"/>
      <c r="P20" s="1778" t="s">
        <v>2575</v>
      </c>
      <c r="Q20" s="1778"/>
      <c r="R20" s="1778"/>
      <c r="S20" s="1778"/>
      <c r="T20" s="408"/>
    </row>
    <row r="21" spans="1:21" ht="24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4"/>
      <c r="O21" s="923"/>
      <c r="P21" s="1773" t="s">
        <v>1749</v>
      </c>
      <c r="Q21" s="1773"/>
      <c r="R21" s="1773"/>
      <c r="S21" s="1773"/>
      <c r="T21" s="408"/>
    </row>
    <row r="22" spans="1:21" ht="12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4"/>
      <c r="O22" s="923"/>
      <c r="P22" s="1773"/>
      <c r="Q22" s="1773"/>
      <c r="R22" s="1773"/>
      <c r="S22" s="1773"/>
      <c r="T22" s="408"/>
    </row>
    <row r="23" spans="1:21" ht="13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4"/>
      <c r="O23" s="923"/>
      <c r="P23" s="1773"/>
      <c r="Q23" s="1773"/>
      <c r="R23" s="1773"/>
      <c r="S23" s="1773"/>
      <c r="T23" s="408"/>
    </row>
    <row r="24" spans="1:21" ht="15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4"/>
      <c r="O24" s="925"/>
      <c r="P24" s="926" t="s">
        <v>1746</v>
      </c>
      <c r="Q24" s="926"/>
      <c r="R24" s="926"/>
      <c r="S24" s="922"/>
      <c r="T24" s="408"/>
    </row>
    <row r="25" spans="1:21" ht="16.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4"/>
      <c r="O25" s="724"/>
      <c r="P25" s="927" t="s">
        <v>2086</v>
      </c>
      <c r="Q25" s="927"/>
      <c r="R25" s="927"/>
      <c r="S25" s="921"/>
      <c r="T25" s="408"/>
      <c r="U25" s="852"/>
    </row>
    <row r="26" spans="1:21" ht="22.5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4"/>
      <c r="O26" s="724"/>
      <c r="P26" s="1748"/>
      <c r="Q26" s="1748"/>
      <c r="R26" s="1748"/>
      <c r="S26" s="1748"/>
      <c r="T26" s="408"/>
    </row>
    <row r="27" spans="1:21" ht="20.2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6"/>
      <c r="O27" s="726"/>
      <c r="P27" s="1751"/>
      <c r="Q27" s="1751"/>
      <c r="R27" s="1751"/>
      <c r="S27" s="726"/>
      <c r="T27" s="411"/>
    </row>
    <row r="28" spans="1:21" ht="12.7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1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1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1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1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74"/>
      <c r="R32" s="1775"/>
      <c r="S32" s="1775"/>
      <c r="T32" s="208"/>
    </row>
    <row r="33" spans="1:96" ht="21.75" customHeight="1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37.5" customHeight="1">
      <c r="A34" s="199"/>
      <c r="B34" s="437"/>
      <c r="C34" s="746"/>
      <c r="D34" s="747"/>
      <c r="E34" s="747"/>
      <c r="F34" s="747"/>
      <c r="G34" s="747"/>
      <c r="H34" s="747"/>
      <c r="I34" s="747"/>
      <c r="J34" s="748"/>
      <c r="K34" s="199"/>
      <c r="M34" s="1767" t="s">
        <v>1436</v>
      </c>
      <c r="N34" s="1768"/>
      <c r="O34" s="1768"/>
      <c r="P34" s="1768"/>
      <c r="Q34" s="1768"/>
      <c r="R34" s="1768"/>
      <c r="S34" s="1768"/>
      <c r="T34" s="1769"/>
    </row>
    <row r="35" spans="1:96" s="854" customFormat="1" ht="28.5" customHeight="1">
      <c r="A35" s="853"/>
      <c r="B35" s="437"/>
      <c r="C35" s="1764" t="s">
        <v>933</v>
      </c>
      <c r="D35" s="1765"/>
      <c r="E35" s="1765"/>
      <c r="F35" s="1765"/>
      <c r="G35" s="1765"/>
      <c r="H35" s="1765"/>
      <c r="I35" s="1765"/>
      <c r="J35" s="1766"/>
      <c r="K35" s="413"/>
      <c r="L35" s="852"/>
      <c r="M35" s="1770"/>
      <c r="N35" s="1771"/>
      <c r="O35" s="1771"/>
      <c r="P35" s="1771"/>
      <c r="Q35" s="1771"/>
      <c r="R35" s="1771"/>
      <c r="S35" s="1771"/>
      <c r="T35" s="1772"/>
      <c r="U35" s="852"/>
      <c r="V35" s="852"/>
      <c r="W35" s="852"/>
      <c r="X35" s="852"/>
      <c r="Y35" s="852"/>
      <c r="Z35" s="852"/>
      <c r="AA35" s="852"/>
      <c r="AB35" s="852"/>
      <c r="AC35" s="852"/>
      <c r="AD35" s="852"/>
      <c r="AE35" s="852"/>
      <c r="AF35" s="852"/>
      <c r="AG35" s="852"/>
      <c r="AH35" s="852"/>
      <c r="AI35" s="852"/>
      <c r="AJ35" s="852"/>
      <c r="AK35" s="852"/>
      <c r="AL35" s="852"/>
      <c r="AM35" s="852"/>
      <c r="AN35" s="852"/>
      <c r="AO35" s="852"/>
      <c r="AP35" s="852"/>
      <c r="AQ35" s="852"/>
      <c r="AR35" s="852"/>
      <c r="AS35" s="852"/>
      <c r="AT35" s="852"/>
      <c r="AU35" s="852"/>
      <c r="AV35" s="852"/>
      <c r="AW35" s="852"/>
      <c r="AX35" s="852"/>
      <c r="AY35" s="852"/>
      <c r="AZ35" s="852"/>
      <c r="BA35" s="852"/>
      <c r="BB35" s="852"/>
      <c r="BC35" s="852"/>
      <c r="BD35" s="852"/>
      <c r="BE35" s="852"/>
      <c r="BF35" s="852"/>
      <c r="BG35" s="852"/>
      <c r="BH35" s="852"/>
      <c r="BI35" s="852"/>
      <c r="BJ35" s="852"/>
      <c r="BK35" s="852"/>
      <c r="BL35" s="852"/>
      <c r="BM35" s="852"/>
      <c r="BN35" s="852"/>
      <c r="BO35" s="852"/>
      <c r="BP35" s="852"/>
      <c r="BQ35" s="852"/>
      <c r="BR35" s="852"/>
      <c r="BS35" s="852"/>
      <c r="BT35" s="852"/>
      <c r="BU35" s="852"/>
      <c r="BV35" s="852"/>
      <c r="BW35" s="852"/>
      <c r="BX35" s="852"/>
      <c r="BY35" s="852"/>
      <c r="BZ35" s="852"/>
      <c r="CA35" s="852"/>
      <c r="CB35" s="852"/>
      <c r="CC35" s="852"/>
      <c r="CD35" s="852"/>
      <c r="CE35" s="852"/>
      <c r="CF35" s="852"/>
      <c r="CG35" s="852"/>
      <c r="CH35" s="852"/>
      <c r="CI35" s="852"/>
      <c r="CJ35" s="852"/>
      <c r="CK35" s="852"/>
      <c r="CL35" s="852"/>
      <c r="CM35" s="852"/>
      <c r="CN35" s="852"/>
      <c r="CO35" s="852"/>
      <c r="CP35" s="852"/>
      <c r="CQ35" s="852"/>
      <c r="CR35" s="852"/>
    </row>
    <row r="36" spans="1:96" s="856" customFormat="1" ht="23.25" customHeight="1">
      <c r="A36" s="853"/>
      <c r="B36" s="390"/>
      <c r="C36" s="1759" t="s">
        <v>934</v>
      </c>
      <c r="D36" s="1760"/>
      <c r="E36" s="1760"/>
      <c r="F36" s="1760"/>
      <c r="G36" s="1760"/>
      <c r="H36" s="1760"/>
      <c r="I36" s="1760"/>
      <c r="J36" s="1761"/>
      <c r="K36" s="414"/>
      <c r="L36" s="855"/>
      <c r="M36" s="1770"/>
      <c r="N36" s="1771"/>
      <c r="O36" s="1771"/>
      <c r="P36" s="1771"/>
      <c r="Q36" s="1771"/>
      <c r="R36" s="1771"/>
      <c r="S36" s="1771"/>
      <c r="T36" s="1772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 s="855"/>
      <c r="AH36" s="855"/>
      <c r="AI36" s="855"/>
      <c r="AJ36" s="855"/>
      <c r="AK36" s="855"/>
      <c r="AL36" s="855"/>
      <c r="AM36" s="855"/>
      <c r="AN36" s="855"/>
      <c r="AO36" s="855"/>
      <c r="AP36" s="855"/>
      <c r="AQ36" s="855"/>
      <c r="AR36" s="855"/>
      <c r="AS36" s="855"/>
      <c r="AT36" s="855"/>
      <c r="AU36" s="855"/>
      <c r="AV36" s="855"/>
      <c r="AW36" s="855"/>
      <c r="AX36" s="855"/>
      <c r="AY36" s="855"/>
      <c r="AZ36" s="855"/>
      <c r="BA36" s="855"/>
      <c r="BB36" s="855"/>
      <c r="BC36" s="855"/>
      <c r="BD36" s="855"/>
      <c r="BE36" s="855"/>
      <c r="BF36" s="855"/>
      <c r="BG36" s="855"/>
      <c r="BH36" s="855"/>
      <c r="BI36" s="855"/>
      <c r="BJ36" s="855"/>
      <c r="BK36" s="855"/>
      <c r="BL36" s="855"/>
      <c r="BM36" s="855"/>
      <c r="BN36" s="855"/>
      <c r="BO36" s="855"/>
      <c r="BP36" s="855"/>
      <c r="BQ36" s="855"/>
      <c r="BR36" s="855"/>
      <c r="BS36" s="855"/>
      <c r="BT36" s="855"/>
      <c r="BU36" s="855"/>
      <c r="BV36" s="855"/>
      <c r="BW36" s="855"/>
      <c r="BX36" s="855"/>
      <c r="BY36" s="855"/>
      <c r="BZ36" s="855"/>
      <c r="CA36" s="855"/>
      <c r="CB36" s="855"/>
      <c r="CC36" s="855"/>
      <c r="CD36" s="855"/>
      <c r="CE36" s="855"/>
      <c r="CF36" s="855"/>
      <c r="CG36" s="855"/>
      <c r="CH36" s="855"/>
      <c r="CI36" s="855"/>
      <c r="CJ36" s="855"/>
      <c r="CK36" s="855"/>
      <c r="CL36" s="855"/>
      <c r="CM36" s="855"/>
      <c r="CN36" s="855"/>
      <c r="CO36" s="855"/>
      <c r="CP36" s="855"/>
      <c r="CQ36" s="855"/>
      <c r="CR36" s="855"/>
    </row>
    <row r="37" spans="1:96" s="856" customFormat="1" ht="24.75" customHeight="1">
      <c r="A37" s="853"/>
      <c r="B37" s="390"/>
      <c r="C37" s="1779" t="s">
        <v>2658</v>
      </c>
      <c r="D37" s="1780"/>
      <c r="E37" s="1780"/>
      <c r="F37" s="1780"/>
      <c r="G37" s="1780"/>
      <c r="H37" s="1780"/>
      <c r="I37" s="1780"/>
      <c r="J37" s="1781"/>
      <c r="K37" s="415"/>
      <c r="L37" s="855"/>
      <c r="M37" s="1770"/>
      <c r="N37" s="1771"/>
      <c r="O37" s="1771"/>
      <c r="P37" s="1771"/>
      <c r="Q37" s="1771"/>
      <c r="R37" s="1771"/>
      <c r="S37" s="1771"/>
      <c r="T37" s="1772"/>
      <c r="U37" s="855"/>
      <c r="V37" s="855"/>
      <c r="W37" s="855"/>
      <c r="X37" s="855"/>
      <c r="Y37" s="855"/>
      <c r="Z37" s="855"/>
      <c r="AA37" s="855"/>
      <c r="AB37" s="855"/>
      <c r="AC37" s="855"/>
      <c r="AD37" s="855"/>
      <c r="AE37" s="855"/>
      <c r="AF37" s="855"/>
      <c r="AG37" s="855"/>
      <c r="AH37" s="855"/>
      <c r="AI37" s="855"/>
      <c r="AJ37" s="855"/>
      <c r="AK37" s="855"/>
      <c r="AL37" s="855"/>
      <c r="AM37" s="855"/>
      <c r="AN37" s="855"/>
      <c r="AO37" s="855"/>
      <c r="AP37" s="855"/>
      <c r="AQ37" s="855"/>
      <c r="AR37" s="855"/>
      <c r="AS37" s="855"/>
      <c r="AT37" s="855"/>
      <c r="AU37" s="855"/>
      <c r="AV37" s="855"/>
      <c r="AW37" s="855"/>
      <c r="AX37" s="855"/>
      <c r="AY37" s="855"/>
      <c r="AZ37" s="855"/>
      <c r="BA37" s="855"/>
      <c r="BB37" s="855"/>
      <c r="BC37" s="855"/>
      <c r="BD37" s="855"/>
      <c r="BE37" s="855"/>
      <c r="BF37" s="855"/>
      <c r="BG37" s="855"/>
      <c r="BH37" s="855"/>
      <c r="BI37" s="855"/>
      <c r="BJ37" s="855"/>
      <c r="BK37" s="855"/>
      <c r="BL37" s="855"/>
      <c r="BM37" s="855"/>
      <c r="BN37" s="855"/>
      <c r="BO37" s="855"/>
      <c r="BP37" s="855"/>
      <c r="BQ37" s="855"/>
      <c r="BR37" s="855"/>
      <c r="BS37" s="855"/>
      <c r="BT37" s="855"/>
      <c r="BU37" s="855"/>
      <c r="BV37" s="855"/>
      <c r="BW37" s="855"/>
      <c r="BX37" s="855"/>
      <c r="BY37" s="855"/>
      <c r="BZ37" s="855"/>
      <c r="CA37" s="855"/>
      <c r="CB37" s="855"/>
      <c r="CC37" s="855"/>
      <c r="CD37" s="855"/>
      <c r="CE37" s="855"/>
      <c r="CF37" s="855"/>
      <c r="CG37" s="855"/>
      <c r="CH37" s="855"/>
      <c r="CI37" s="855"/>
      <c r="CJ37" s="855"/>
      <c r="CK37" s="855"/>
      <c r="CL37" s="855"/>
      <c r="CM37" s="855"/>
      <c r="CN37" s="855"/>
      <c r="CO37" s="855"/>
      <c r="CP37" s="855"/>
      <c r="CQ37" s="855"/>
      <c r="CR37" s="855"/>
    </row>
    <row r="38" spans="1:96" s="210" customFormat="1" ht="24" customHeight="1">
      <c r="A38" s="199"/>
      <c r="B38" s="387"/>
      <c r="C38" s="737"/>
      <c r="D38" s="738"/>
      <c r="E38" s="738"/>
      <c r="F38" s="738"/>
      <c r="G38" s="738"/>
      <c r="H38" s="738"/>
      <c r="I38" s="738"/>
      <c r="J38" s="739"/>
      <c r="K38" s="403"/>
      <c r="L38" s="208"/>
      <c r="M38" s="727"/>
      <c r="N38" s="728"/>
      <c r="O38" s="1754" t="s">
        <v>2576</v>
      </c>
      <c r="P38" s="1754"/>
      <c r="Q38" s="1754"/>
      <c r="R38" s="1754"/>
      <c r="S38" s="1754"/>
      <c r="T38" s="162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7"/>
      <c r="C39" s="740"/>
      <c r="D39" s="741"/>
      <c r="E39" s="741"/>
      <c r="F39" s="741"/>
      <c r="G39" s="741"/>
      <c r="H39" s="741"/>
      <c r="I39" s="741"/>
      <c r="J39" s="742"/>
      <c r="K39" s="412"/>
      <c r="M39" s="729"/>
      <c r="N39" s="730"/>
      <c r="O39" s="1747" t="s">
        <v>2433</v>
      </c>
      <c r="P39" s="1747"/>
      <c r="Q39" s="1747"/>
      <c r="R39" s="1747"/>
      <c r="S39" s="928"/>
      <c r="T39" s="929"/>
    </row>
    <row r="40" spans="1:96" s="207" customFormat="1" ht="19.5" customHeight="1">
      <c r="B40" s="857"/>
      <c r="C40" s="740"/>
      <c r="D40" s="741"/>
      <c r="E40" s="741"/>
      <c r="F40" s="741"/>
      <c r="G40" s="741"/>
      <c r="H40" s="741"/>
      <c r="I40" s="741"/>
      <c r="J40" s="742"/>
      <c r="K40" s="412"/>
      <c r="M40" s="729"/>
      <c r="N40" s="730"/>
      <c r="O40" s="1747" t="s">
        <v>863</v>
      </c>
      <c r="P40" s="1747"/>
      <c r="Q40" s="1747"/>
      <c r="R40" s="1428"/>
      <c r="S40" s="930"/>
      <c r="T40" s="931"/>
    </row>
    <row r="41" spans="1:96" s="207" customFormat="1" ht="17.25" customHeight="1">
      <c r="B41" s="857"/>
      <c r="C41" s="740"/>
      <c r="D41" s="741"/>
      <c r="E41" s="741"/>
      <c r="F41" s="741"/>
      <c r="G41" s="741"/>
      <c r="H41" s="741"/>
      <c r="I41" s="741"/>
      <c r="J41" s="742"/>
      <c r="K41" s="412"/>
      <c r="M41" s="729"/>
      <c r="N41" s="725"/>
      <c r="O41" s="1747" t="s">
        <v>864</v>
      </c>
      <c r="P41" s="1747"/>
      <c r="Q41" s="1747"/>
      <c r="R41" s="1428"/>
      <c r="S41" s="920"/>
      <c r="T41" s="931"/>
    </row>
    <row r="42" spans="1:96" s="207" customFormat="1" ht="17.25" customHeight="1">
      <c r="B42" s="857"/>
      <c r="C42" s="740"/>
      <c r="D42" s="741"/>
      <c r="E42" s="741"/>
      <c r="F42" s="741"/>
      <c r="G42" s="741"/>
      <c r="H42" s="741"/>
      <c r="I42" s="741"/>
      <c r="J42" s="742"/>
      <c r="K42" s="412"/>
      <c r="M42" s="732"/>
      <c r="N42" s="725"/>
      <c r="O42" s="1747" t="s">
        <v>1437</v>
      </c>
      <c r="P42" s="1747"/>
      <c r="Q42" s="1747"/>
      <c r="R42" s="1428"/>
      <c r="S42" s="920"/>
      <c r="T42" s="931"/>
    </row>
    <row r="43" spans="1:96" s="207" customFormat="1" ht="24.75" customHeight="1">
      <c r="B43" s="857"/>
      <c r="C43" s="740"/>
      <c r="D43" s="741"/>
      <c r="E43" s="741"/>
      <c r="F43" s="741"/>
      <c r="G43" s="741"/>
      <c r="H43" s="741"/>
      <c r="I43" s="741"/>
      <c r="J43" s="742"/>
      <c r="K43" s="412"/>
      <c r="M43" s="732"/>
      <c r="N43" s="725"/>
      <c r="O43" s="1753" t="s">
        <v>1718</v>
      </c>
      <c r="P43" s="1753"/>
      <c r="Q43" s="1753"/>
      <c r="R43" s="1753"/>
      <c r="S43" s="1753"/>
      <c r="T43" s="731"/>
    </row>
    <row r="44" spans="1:96" s="207" customFormat="1" ht="15.75" customHeight="1">
      <c r="B44" s="857"/>
      <c r="C44" s="749"/>
      <c r="D44" s="750"/>
      <c r="E44" s="750"/>
      <c r="F44" s="750"/>
      <c r="G44" s="750"/>
      <c r="H44" s="750"/>
      <c r="I44" s="750"/>
      <c r="J44" s="751"/>
      <c r="K44" s="412"/>
      <c r="M44" s="732"/>
      <c r="N44" s="725"/>
      <c r="O44" s="1747" t="s">
        <v>1667</v>
      </c>
      <c r="P44" s="1747"/>
      <c r="Q44" s="1747"/>
      <c r="R44" s="725"/>
      <c r="S44" s="725"/>
      <c r="T44" s="731"/>
    </row>
    <row r="45" spans="1:96" s="207" customFormat="1" ht="18" customHeight="1">
      <c r="B45" s="857"/>
      <c r="C45" s="1756" t="s">
        <v>2100</v>
      </c>
      <c r="D45" s="1757"/>
      <c r="E45" s="1757"/>
      <c r="F45" s="1757"/>
      <c r="G45" s="1757"/>
      <c r="H45" s="1757"/>
      <c r="I45" s="1757"/>
      <c r="J45" s="1758"/>
      <c r="K45" s="416"/>
      <c r="M45" s="732"/>
      <c r="N45" s="725"/>
      <c r="O45" s="1747" t="s">
        <v>863</v>
      </c>
      <c r="P45" s="1747"/>
      <c r="Q45" s="1747"/>
      <c r="R45" s="733"/>
      <c r="S45" s="725"/>
      <c r="T45" s="731"/>
    </row>
    <row r="46" spans="1:96" s="207" customFormat="1" ht="18.75" customHeight="1">
      <c r="B46" s="857"/>
      <c r="C46" s="1756" t="s">
        <v>932</v>
      </c>
      <c r="D46" s="1757"/>
      <c r="E46" s="1757"/>
      <c r="F46" s="1757"/>
      <c r="G46" s="1757"/>
      <c r="H46" s="1757"/>
      <c r="I46" s="1757"/>
      <c r="J46" s="1758"/>
      <c r="K46" s="416"/>
      <c r="M46" s="729"/>
      <c r="N46" s="730"/>
      <c r="O46" s="1747" t="s">
        <v>864</v>
      </c>
      <c r="P46" s="1747"/>
      <c r="Q46" s="1747"/>
      <c r="R46" s="730"/>
      <c r="S46" s="730"/>
      <c r="T46" s="731"/>
    </row>
    <row r="47" spans="1:96" s="207" customFormat="1" ht="14.25" customHeight="1">
      <c r="B47" s="857"/>
      <c r="C47" s="752"/>
      <c r="D47" s="753"/>
      <c r="E47" s="753"/>
      <c r="F47" s="753"/>
      <c r="G47" s="753"/>
      <c r="H47" s="753"/>
      <c r="I47" s="753"/>
      <c r="J47" s="754"/>
      <c r="K47" s="208"/>
      <c r="M47" s="729"/>
      <c r="N47" s="730"/>
      <c r="O47" s="1747" t="s">
        <v>1668</v>
      </c>
      <c r="P47" s="1747"/>
      <c r="Q47" s="1747"/>
      <c r="R47" s="730"/>
      <c r="S47" s="730"/>
      <c r="T47" s="731"/>
    </row>
    <row r="48" spans="1:96" s="207" customFormat="1" ht="14.25" customHeight="1">
      <c r="B48" s="857"/>
      <c r="C48" s="752"/>
      <c r="D48" s="753"/>
      <c r="E48" s="753"/>
      <c r="F48" s="753"/>
      <c r="G48" s="753"/>
      <c r="H48" s="753"/>
      <c r="I48" s="753"/>
      <c r="J48" s="754"/>
      <c r="K48" s="208"/>
      <c r="M48" s="729"/>
      <c r="N48" s="730"/>
      <c r="O48" s="932"/>
      <c r="P48" s="932"/>
      <c r="Q48" s="932"/>
      <c r="R48" s="730"/>
      <c r="S48" s="730"/>
      <c r="T48" s="731"/>
    </row>
    <row r="49" spans="2:20" s="207" customFormat="1" ht="20.25" customHeight="1">
      <c r="B49" s="857"/>
      <c r="C49" s="752"/>
      <c r="D49" s="753"/>
      <c r="E49" s="753"/>
      <c r="F49" s="753"/>
      <c r="G49" s="753"/>
      <c r="H49" s="753"/>
      <c r="I49" s="753"/>
      <c r="J49" s="754"/>
      <c r="K49" s="208"/>
      <c r="M49" s="729"/>
      <c r="N49" s="730"/>
      <c r="O49" s="1754" t="s">
        <v>1748</v>
      </c>
      <c r="P49" s="1754"/>
      <c r="Q49" s="1754"/>
      <c r="R49" s="1754"/>
      <c r="S49" s="1754"/>
      <c r="T49" s="1628"/>
    </row>
    <row r="50" spans="2:20" s="207" customFormat="1" ht="19.5" customHeight="1">
      <c r="B50" s="857"/>
      <c r="C50" s="752"/>
      <c r="D50" s="753"/>
      <c r="E50" s="753"/>
      <c r="F50" s="753"/>
      <c r="G50" s="753"/>
      <c r="H50" s="753"/>
      <c r="I50" s="753"/>
      <c r="J50" s="754"/>
      <c r="K50" s="208"/>
      <c r="M50" s="729"/>
      <c r="N50" s="730"/>
      <c r="O50" s="1755" t="s">
        <v>2087</v>
      </c>
      <c r="P50" s="1755"/>
      <c r="Q50" s="1755"/>
      <c r="R50" s="730"/>
      <c r="S50" s="730"/>
      <c r="T50" s="731"/>
    </row>
    <row r="51" spans="2:20" s="207" customFormat="1" ht="15.75" customHeight="1">
      <c r="B51" s="857"/>
      <c r="C51" s="752"/>
      <c r="D51" s="753"/>
      <c r="E51" s="753"/>
      <c r="F51" s="753"/>
      <c r="G51" s="753"/>
      <c r="H51" s="753"/>
      <c r="I51" s="753"/>
      <c r="J51" s="754"/>
      <c r="K51" s="208"/>
      <c r="M51" s="729"/>
      <c r="N51" s="730"/>
      <c r="O51" s="1755" t="s">
        <v>863</v>
      </c>
      <c r="P51" s="1755"/>
      <c r="Q51" s="1755"/>
      <c r="R51" s="730"/>
      <c r="S51" s="730"/>
      <c r="T51" s="731"/>
    </row>
    <row r="52" spans="2:20" s="207" customFormat="1" ht="14.25" customHeight="1">
      <c r="B52" s="857"/>
      <c r="C52" s="752"/>
      <c r="D52" s="753"/>
      <c r="E52" s="753"/>
      <c r="F52" s="753"/>
      <c r="G52" s="753"/>
      <c r="H52" s="753"/>
      <c r="I52" s="753"/>
      <c r="J52" s="754"/>
      <c r="K52" s="208"/>
      <c r="M52" s="729"/>
      <c r="N52" s="730"/>
      <c r="O52" s="1755" t="s">
        <v>864</v>
      </c>
      <c r="P52" s="1755"/>
      <c r="Q52" s="1755"/>
      <c r="R52" s="730"/>
      <c r="S52" s="730"/>
      <c r="T52" s="731"/>
    </row>
    <row r="53" spans="2:20" s="207" customFormat="1" ht="14.25" customHeight="1">
      <c r="B53" s="857"/>
      <c r="C53" s="752"/>
      <c r="D53" s="753"/>
      <c r="E53" s="753"/>
      <c r="F53" s="753"/>
      <c r="G53" s="753"/>
      <c r="H53" s="753"/>
      <c r="I53" s="753"/>
      <c r="J53" s="754"/>
      <c r="K53" s="208"/>
      <c r="M53" s="729"/>
      <c r="N53" s="730"/>
      <c r="O53" s="1747" t="s">
        <v>1668</v>
      </c>
      <c r="P53" s="1747"/>
      <c r="Q53" s="1747"/>
      <c r="R53" s="730"/>
      <c r="S53" s="730"/>
      <c r="T53" s="731"/>
    </row>
    <row r="54" spans="2:20" s="207" customFormat="1" ht="14.25" customHeight="1">
      <c r="B54" s="857"/>
      <c r="C54" s="752"/>
      <c r="D54" s="753"/>
      <c r="E54" s="753"/>
      <c r="F54" s="753"/>
      <c r="G54" s="753"/>
      <c r="H54" s="753"/>
      <c r="I54" s="753"/>
      <c r="J54" s="754"/>
      <c r="K54" s="208"/>
      <c r="M54" s="729"/>
      <c r="N54" s="730"/>
      <c r="O54" s="1055"/>
      <c r="P54" s="1055"/>
      <c r="Q54" s="1055"/>
      <c r="R54" s="730"/>
      <c r="S54" s="730"/>
      <c r="T54" s="731"/>
    </row>
    <row r="55" spans="2:20" s="207" customFormat="1" ht="16.5" customHeight="1">
      <c r="B55" s="857"/>
      <c r="C55" s="752"/>
      <c r="D55" s="753"/>
      <c r="E55" s="753"/>
      <c r="F55" s="753"/>
      <c r="G55" s="753"/>
      <c r="H55" s="753"/>
      <c r="I55" s="753"/>
      <c r="J55" s="754"/>
      <c r="K55" s="208"/>
      <c r="M55" s="729"/>
      <c r="N55" s="730"/>
      <c r="O55" s="1057"/>
      <c r="P55" s="1057"/>
      <c r="Q55" s="1057"/>
      <c r="R55" s="1057"/>
      <c r="S55" s="1057"/>
      <c r="T55" s="731"/>
    </row>
    <row r="56" spans="2:20" s="207" customFormat="1" ht="24" customHeight="1" thickBot="1">
      <c r="B56" s="857"/>
      <c r="C56" s="409"/>
      <c r="D56" s="410"/>
      <c r="E56" s="410"/>
      <c r="F56" s="410"/>
      <c r="G56" s="410"/>
      <c r="H56" s="410"/>
      <c r="I56" s="410"/>
      <c r="J56" s="411"/>
      <c r="K56" s="208"/>
      <c r="M56" s="734"/>
      <c r="N56" s="735"/>
      <c r="O56" s="1058"/>
      <c r="P56" s="1058"/>
      <c r="Q56" s="1058"/>
      <c r="R56" s="1058"/>
      <c r="S56" s="1058"/>
      <c r="T56" s="736"/>
    </row>
    <row r="57" spans="2:20" s="207" customFormat="1">
      <c r="B57" s="857"/>
      <c r="C57" s="208"/>
      <c r="D57" s="208"/>
      <c r="E57" s="208"/>
      <c r="F57" s="208"/>
      <c r="G57" s="208"/>
      <c r="H57" s="208"/>
      <c r="I57" s="208"/>
      <c r="J57" s="208"/>
      <c r="K57" s="208"/>
    </row>
    <row r="58" spans="2:20" s="207" customFormat="1">
      <c r="B58" s="857"/>
    </row>
    <row r="59" spans="2:20" s="207" customFormat="1">
      <c r="B59" s="857"/>
    </row>
    <row r="60" spans="2:20" s="207" customFormat="1">
      <c r="B60" s="857"/>
    </row>
    <row r="61" spans="2:20" s="207" customFormat="1">
      <c r="B61" s="857"/>
    </row>
    <row r="62" spans="2:20" s="207" customFormat="1">
      <c r="B62" s="857"/>
    </row>
    <row r="63" spans="2:20" s="207" customFormat="1">
      <c r="B63" s="857"/>
    </row>
    <row r="64" spans="2:20" s="207" customFormat="1">
      <c r="B64" s="857"/>
    </row>
    <row r="65" spans="2:2" s="207" customFormat="1">
      <c r="B65" s="857"/>
    </row>
    <row r="66" spans="2:2" s="207" customFormat="1">
      <c r="B66" s="857"/>
    </row>
    <row r="67" spans="2:2" s="207" customFormat="1">
      <c r="B67" s="857"/>
    </row>
    <row r="68" spans="2:2" s="207" customFormat="1">
      <c r="B68" s="857"/>
    </row>
    <row r="69" spans="2:2" s="207" customFormat="1">
      <c r="B69" s="857"/>
    </row>
    <row r="70" spans="2:2" s="207" customFormat="1">
      <c r="B70" s="857"/>
    </row>
    <row r="71" spans="2:2" s="207" customFormat="1">
      <c r="B71" s="857"/>
    </row>
    <row r="72" spans="2:2" s="207" customFormat="1">
      <c r="B72" s="857"/>
    </row>
    <row r="73" spans="2:2" s="207" customFormat="1">
      <c r="B73" s="857"/>
    </row>
    <row r="74" spans="2:2" s="207" customFormat="1">
      <c r="B74" s="857"/>
    </row>
    <row r="75" spans="2:2" s="207" customFormat="1">
      <c r="B75" s="857"/>
    </row>
    <row r="76" spans="2:2" s="207" customFormat="1">
      <c r="B76" s="857"/>
    </row>
    <row r="77" spans="2:2" s="207" customFormat="1">
      <c r="B77" s="857"/>
    </row>
    <row r="78" spans="2:2" s="207" customFormat="1">
      <c r="B78" s="857"/>
    </row>
    <row r="79" spans="2:2" s="207" customFormat="1">
      <c r="B79" s="857"/>
    </row>
    <row r="80" spans="2:2" s="207" customFormat="1">
      <c r="B80" s="857"/>
    </row>
    <row r="81" spans="2:2" s="207" customFormat="1">
      <c r="B81" s="857"/>
    </row>
    <row r="82" spans="2:2" s="207" customFormat="1">
      <c r="B82" s="857"/>
    </row>
    <row r="83" spans="2:2" s="207" customFormat="1">
      <c r="B83" s="857"/>
    </row>
    <row r="84" spans="2:2" s="207" customFormat="1">
      <c r="B84" s="857"/>
    </row>
    <row r="85" spans="2:2" s="207" customFormat="1">
      <c r="B85" s="857"/>
    </row>
    <row r="86" spans="2:2" s="207" customFormat="1">
      <c r="B86" s="857"/>
    </row>
    <row r="87" spans="2:2" s="207" customFormat="1">
      <c r="B87" s="857"/>
    </row>
    <row r="88" spans="2:2" s="207" customFormat="1">
      <c r="B88" s="857"/>
    </row>
    <row r="89" spans="2:2" s="207" customFormat="1">
      <c r="B89" s="857"/>
    </row>
    <row r="90" spans="2:2" s="207" customFormat="1">
      <c r="B90" s="857"/>
    </row>
    <row r="91" spans="2:2" s="207" customFormat="1">
      <c r="B91" s="857"/>
    </row>
    <row r="92" spans="2:2" s="207" customFormat="1">
      <c r="B92" s="857"/>
    </row>
    <row r="93" spans="2:2" s="207" customFormat="1">
      <c r="B93" s="857"/>
    </row>
    <row r="94" spans="2:2" s="207" customFormat="1">
      <c r="B94" s="857"/>
    </row>
    <row r="95" spans="2:2" s="207" customFormat="1">
      <c r="B95" s="857"/>
    </row>
    <row r="96" spans="2:2" s="207" customFormat="1">
      <c r="B96" s="857"/>
    </row>
    <row r="97" spans="2:2" s="207" customFormat="1">
      <c r="B97" s="857"/>
    </row>
    <row r="98" spans="2:2" s="207" customFormat="1">
      <c r="B98" s="857"/>
    </row>
    <row r="99" spans="2:2" s="207" customFormat="1">
      <c r="B99" s="857"/>
    </row>
    <row r="100" spans="2:2" s="207" customFormat="1">
      <c r="B100" s="857"/>
    </row>
    <row r="101" spans="2:2" s="207" customFormat="1">
      <c r="B101" s="857"/>
    </row>
    <row r="102" spans="2:2" s="207" customFormat="1">
      <c r="B102" s="857"/>
    </row>
    <row r="103" spans="2:2" s="207" customFormat="1">
      <c r="B103" s="857"/>
    </row>
    <row r="104" spans="2:2" s="207" customFormat="1">
      <c r="B104" s="857"/>
    </row>
    <row r="105" spans="2:2" s="207" customFormat="1">
      <c r="B105" s="857"/>
    </row>
    <row r="106" spans="2:2" s="207" customFormat="1">
      <c r="B106" s="857"/>
    </row>
    <row r="107" spans="2:2" s="207" customFormat="1">
      <c r="B107" s="857"/>
    </row>
    <row r="108" spans="2:2" s="207" customFormat="1">
      <c r="B108" s="857"/>
    </row>
    <row r="109" spans="2:2" s="207" customFormat="1">
      <c r="B109" s="857"/>
    </row>
    <row r="110" spans="2:2" s="207" customFormat="1">
      <c r="B110" s="857"/>
    </row>
    <row r="111" spans="2:2" s="207" customFormat="1">
      <c r="B111" s="857"/>
    </row>
    <row r="112" spans="2:2" s="207" customFormat="1">
      <c r="B112" s="857"/>
    </row>
    <row r="113" spans="2:2" s="207" customFormat="1">
      <c r="B113" s="857"/>
    </row>
    <row r="114" spans="2:2" s="207" customFormat="1">
      <c r="B114" s="857"/>
    </row>
    <row r="115" spans="2:2" s="207" customFormat="1">
      <c r="B115" s="857"/>
    </row>
    <row r="116" spans="2:2" s="207" customFormat="1">
      <c r="B116" s="857"/>
    </row>
    <row r="117" spans="2:2" s="207" customFormat="1">
      <c r="B117" s="857"/>
    </row>
    <row r="118" spans="2:2" s="207" customFormat="1">
      <c r="B118" s="857"/>
    </row>
    <row r="119" spans="2:2" s="207" customFormat="1">
      <c r="B119" s="857"/>
    </row>
    <row r="120" spans="2:2" s="207" customFormat="1">
      <c r="B120" s="857"/>
    </row>
    <row r="121" spans="2:2" s="207" customFormat="1">
      <c r="B121" s="857"/>
    </row>
    <row r="122" spans="2:2" s="207" customFormat="1">
      <c r="B122" s="857"/>
    </row>
    <row r="123" spans="2:2" s="207" customFormat="1">
      <c r="B123" s="857"/>
    </row>
    <row r="124" spans="2:2" s="207" customFormat="1">
      <c r="B124" s="857"/>
    </row>
    <row r="125" spans="2:2" s="207" customFormat="1">
      <c r="B125" s="857"/>
    </row>
    <row r="126" spans="2:2" s="207" customFormat="1">
      <c r="B126" s="857"/>
    </row>
    <row r="127" spans="2:2" s="207" customFormat="1">
      <c r="B127" s="857"/>
    </row>
    <row r="128" spans="2:2" s="207" customFormat="1">
      <c r="B128" s="857"/>
    </row>
    <row r="129" spans="2:2" s="207" customFormat="1">
      <c r="B129" s="857"/>
    </row>
    <row r="130" spans="2:2" s="207" customFormat="1">
      <c r="B130" s="857"/>
    </row>
    <row r="131" spans="2:2" s="207" customFormat="1">
      <c r="B131" s="857"/>
    </row>
    <row r="132" spans="2:2" s="207" customFormat="1">
      <c r="B132" s="857"/>
    </row>
    <row r="133" spans="2:2" s="207" customFormat="1">
      <c r="B133" s="857"/>
    </row>
    <row r="134" spans="2:2" s="207" customFormat="1">
      <c r="B134" s="857"/>
    </row>
    <row r="135" spans="2:2" s="207" customFormat="1">
      <c r="B135" s="857"/>
    </row>
    <row r="136" spans="2:2" s="207" customFormat="1">
      <c r="B136" s="857"/>
    </row>
    <row r="137" spans="2:2" s="207" customFormat="1">
      <c r="B137" s="857"/>
    </row>
    <row r="138" spans="2:2" s="207" customFormat="1">
      <c r="B138" s="857"/>
    </row>
    <row r="139" spans="2:2" s="207" customFormat="1">
      <c r="B139" s="857"/>
    </row>
    <row r="140" spans="2:2" s="207" customFormat="1">
      <c r="B140" s="857"/>
    </row>
    <row r="141" spans="2:2" s="207" customFormat="1">
      <c r="B141" s="857"/>
    </row>
    <row r="142" spans="2:2" s="207" customFormat="1">
      <c r="B142" s="857"/>
    </row>
    <row r="143" spans="2:2" s="207" customFormat="1">
      <c r="B143" s="857"/>
    </row>
    <row r="144" spans="2:2" s="207" customFormat="1">
      <c r="B144" s="857"/>
    </row>
    <row r="145" spans="2:2" s="207" customFormat="1">
      <c r="B145" s="857"/>
    </row>
    <row r="146" spans="2:2" s="207" customFormat="1">
      <c r="B146" s="857"/>
    </row>
    <row r="147" spans="2:2" s="207" customFormat="1">
      <c r="B147" s="857"/>
    </row>
    <row r="148" spans="2:2" s="207" customFormat="1">
      <c r="B148" s="857"/>
    </row>
    <row r="149" spans="2:2" s="207" customFormat="1">
      <c r="B149" s="857"/>
    </row>
    <row r="150" spans="2:2" s="207" customFormat="1">
      <c r="B150" s="857"/>
    </row>
    <row r="151" spans="2:2" s="207" customFormat="1">
      <c r="B151" s="857"/>
    </row>
    <row r="152" spans="2:2" s="207" customFormat="1">
      <c r="B152" s="857"/>
    </row>
    <row r="153" spans="2:2" s="207" customFormat="1">
      <c r="B153" s="857"/>
    </row>
    <row r="154" spans="2:2" s="207" customFormat="1">
      <c r="B154" s="857"/>
    </row>
    <row r="155" spans="2:2" s="207" customFormat="1">
      <c r="B155" s="857"/>
    </row>
    <row r="156" spans="2:2" s="207" customFormat="1">
      <c r="B156" s="857"/>
    </row>
    <row r="157" spans="2:2" s="207" customFormat="1">
      <c r="B157" s="857"/>
    </row>
    <row r="158" spans="2:2" s="207" customFormat="1">
      <c r="B158" s="857"/>
    </row>
    <row r="159" spans="2:2" s="207" customFormat="1">
      <c r="B159" s="857"/>
    </row>
    <row r="160" spans="2:2" s="207" customFormat="1">
      <c r="B160" s="857"/>
    </row>
    <row r="161" spans="2:2" s="207" customFormat="1">
      <c r="B161" s="857"/>
    </row>
    <row r="162" spans="2:2" s="207" customFormat="1">
      <c r="B162" s="857"/>
    </row>
    <row r="163" spans="2:2" s="207" customFormat="1">
      <c r="B163" s="857"/>
    </row>
    <row r="164" spans="2:2" s="207" customFormat="1">
      <c r="B164" s="857"/>
    </row>
    <row r="165" spans="2:2" s="207" customFormat="1">
      <c r="B165" s="857"/>
    </row>
    <row r="166" spans="2:2" s="207" customFormat="1">
      <c r="B166" s="857"/>
    </row>
    <row r="167" spans="2:2" s="207" customFormat="1">
      <c r="B167" s="857"/>
    </row>
    <row r="168" spans="2:2" s="207" customFormat="1">
      <c r="B168" s="857"/>
    </row>
    <row r="169" spans="2:2" s="207" customFormat="1">
      <c r="B169" s="857"/>
    </row>
    <row r="170" spans="2:2" s="207" customFormat="1">
      <c r="B170" s="857"/>
    </row>
    <row r="171" spans="2:2" s="207" customFormat="1">
      <c r="B171" s="857"/>
    </row>
    <row r="172" spans="2:2" s="207" customFormat="1">
      <c r="B172" s="857"/>
    </row>
    <row r="173" spans="2:2" s="207" customFormat="1">
      <c r="B173" s="857"/>
    </row>
    <row r="174" spans="2:2" s="207" customFormat="1">
      <c r="B174" s="857"/>
    </row>
    <row r="175" spans="2:2" s="207" customFormat="1">
      <c r="B175" s="857"/>
    </row>
    <row r="176" spans="2:2" s="207" customFormat="1">
      <c r="B176" s="857"/>
    </row>
    <row r="177" spans="2:2" s="207" customFormat="1">
      <c r="B177" s="857"/>
    </row>
    <row r="178" spans="2:2" s="207" customFormat="1">
      <c r="B178" s="857"/>
    </row>
    <row r="179" spans="2:2" s="207" customFormat="1">
      <c r="B179" s="857"/>
    </row>
    <row r="180" spans="2:2" s="207" customFormat="1">
      <c r="B180" s="857"/>
    </row>
    <row r="181" spans="2:2" s="207" customFormat="1">
      <c r="B181" s="857"/>
    </row>
    <row r="182" spans="2:2" s="207" customFormat="1">
      <c r="B182" s="857"/>
    </row>
    <row r="183" spans="2:2" s="207" customFormat="1">
      <c r="B183" s="857"/>
    </row>
    <row r="184" spans="2:2" s="207" customFormat="1">
      <c r="B184" s="857"/>
    </row>
    <row r="185" spans="2:2" s="207" customFormat="1">
      <c r="B185" s="857"/>
    </row>
    <row r="186" spans="2:2" s="207" customFormat="1">
      <c r="B186" s="857"/>
    </row>
    <row r="187" spans="2:2" s="207" customFormat="1">
      <c r="B187" s="857"/>
    </row>
    <row r="188" spans="2:2" s="207" customFormat="1">
      <c r="B188" s="857"/>
    </row>
    <row r="189" spans="2:2" s="207" customFormat="1">
      <c r="B189" s="857"/>
    </row>
    <row r="190" spans="2:2" s="207" customFormat="1">
      <c r="B190" s="857"/>
    </row>
    <row r="191" spans="2:2" s="207" customFormat="1">
      <c r="B191" s="857"/>
    </row>
    <row r="192" spans="2:2" s="207" customFormat="1">
      <c r="B192" s="857"/>
    </row>
    <row r="193" spans="2:2" s="207" customFormat="1">
      <c r="B193" s="857"/>
    </row>
    <row r="194" spans="2:2" s="207" customFormat="1">
      <c r="B194" s="857"/>
    </row>
    <row r="195" spans="2:2" s="207" customFormat="1">
      <c r="B195" s="857"/>
    </row>
    <row r="196" spans="2:2" s="207" customFormat="1">
      <c r="B196" s="857"/>
    </row>
    <row r="197" spans="2:2" s="207" customFormat="1">
      <c r="B197" s="857"/>
    </row>
    <row r="198" spans="2:2" s="207" customFormat="1">
      <c r="B198" s="857"/>
    </row>
    <row r="199" spans="2:2" s="207" customFormat="1">
      <c r="B199" s="857"/>
    </row>
    <row r="200" spans="2:2" s="207" customFormat="1">
      <c r="B200" s="857"/>
    </row>
    <row r="201" spans="2:2" s="207" customFormat="1">
      <c r="B201" s="857"/>
    </row>
    <row r="202" spans="2:2" s="207" customFormat="1">
      <c r="B202" s="857"/>
    </row>
    <row r="203" spans="2:2" s="207" customFormat="1">
      <c r="B203" s="857"/>
    </row>
    <row r="204" spans="2:2" s="207" customFormat="1">
      <c r="B204" s="857"/>
    </row>
    <row r="205" spans="2:2" s="207" customFormat="1">
      <c r="B205" s="857"/>
    </row>
    <row r="206" spans="2:2" s="207" customFormat="1">
      <c r="B206" s="857"/>
    </row>
    <row r="207" spans="2:2" s="207" customFormat="1">
      <c r="B207" s="857"/>
    </row>
    <row r="208" spans="2:2" s="207" customFormat="1">
      <c r="B208" s="857"/>
    </row>
    <row r="209" spans="2:2" s="207" customFormat="1">
      <c r="B209" s="857"/>
    </row>
    <row r="210" spans="2:2" s="207" customFormat="1">
      <c r="B210" s="857"/>
    </row>
    <row r="211" spans="2:2" s="207" customFormat="1">
      <c r="B211" s="857"/>
    </row>
    <row r="212" spans="2:2" s="207" customFormat="1">
      <c r="B212" s="857"/>
    </row>
    <row r="213" spans="2:2" s="207" customFormat="1">
      <c r="B213" s="857"/>
    </row>
    <row r="214" spans="2:2" s="207" customFormat="1">
      <c r="B214" s="857"/>
    </row>
    <row r="215" spans="2:2" s="207" customFormat="1">
      <c r="B215" s="857"/>
    </row>
    <row r="216" spans="2:2" s="207" customFormat="1">
      <c r="B216" s="857"/>
    </row>
    <row r="217" spans="2:2" s="207" customFormat="1">
      <c r="B217" s="857"/>
    </row>
    <row r="218" spans="2:2" s="207" customFormat="1">
      <c r="B218" s="857"/>
    </row>
    <row r="219" spans="2:2" s="207" customFormat="1">
      <c r="B219" s="857"/>
    </row>
    <row r="220" spans="2:2" s="207" customFormat="1">
      <c r="B220" s="857"/>
    </row>
    <row r="221" spans="2:2" s="207" customFormat="1">
      <c r="B221" s="857"/>
    </row>
    <row r="222" spans="2:2" s="207" customFormat="1">
      <c r="B222" s="857"/>
    </row>
    <row r="223" spans="2:2" s="207" customFormat="1">
      <c r="B223" s="857"/>
    </row>
    <row r="224" spans="2:2" s="207" customFormat="1">
      <c r="B224" s="857"/>
    </row>
    <row r="225" spans="2:2" s="207" customFormat="1">
      <c r="B225" s="857"/>
    </row>
    <row r="226" spans="2:2" s="207" customFormat="1">
      <c r="B226" s="857"/>
    </row>
    <row r="227" spans="2:2" s="207" customFormat="1">
      <c r="B227" s="857"/>
    </row>
    <row r="228" spans="2:2" s="207" customFormat="1">
      <c r="B228" s="857"/>
    </row>
    <row r="229" spans="2:2" s="207" customFormat="1">
      <c r="B229" s="857"/>
    </row>
    <row r="230" spans="2:2" s="207" customFormat="1">
      <c r="B230" s="857"/>
    </row>
    <row r="231" spans="2:2" s="207" customFormat="1">
      <c r="B231" s="857"/>
    </row>
    <row r="232" spans="2:2" s="207" customFormat="1">
      <c r="B232" s="857"/>
    </row>
    <row r="233" spans="2:2" s="207" customFormat="1">
      <c r="B233" s="857"/>
    </row>
    <row r="234" spans="2:2" s="207" customFormat="1">
      <c r="B234" s="857"/>
    </row>
    <row r="235" spans="2:2" s="207" customFormat="1">
      <c r="B235" s="857"/>
    </row>
    <row r="236" spans="2:2" s="207" customFormat="1">
      <c r="B236" s="857"/>
    </row>
    <row r="237" spans="2:2" s="207" customFormat="1">
      <c r="B237" s="857"/>
    </row>
    <row r="238" spans="2:2" s="207" customFormat="1">
      <c r="B238" s="857"/>
    </row>
    <row r="239" spans="2:2" s="207" customFormat="1">
      <c r="B239" s="857"/>
    </row>
    <row r="240" spans="2:2" s="207" customFormat="1">
      <c r="B240" s="857"/>
    </row>
    <row r="241" spans="2:2" s="207" customFormat="1">
      <c r="B241" s="857"/>
    </row>
    <row r="242" spans="2:2" s="207" customFormat="1">
      <c r="B242" s="857"/>
    </row>
    <row r="243" spans="2:2" s="207" customFormat="1">
      <c r="B243" s="857"/>
    </row>
    <row r="244" spans="2:2" s="207" customFormat="1">
      <c r="B244" s="857"/>
    </row>
    <row r="245" spans="2:2" s="207" customFormat="1">
      <c r="B245" s="857"/>
    </row>
    <row r="246" spans="2:2" s="207" customFormat="1">
      <c r="B246" s="857"/>
    </row>
    <row r="247" spans="2:2" s="207" customFormat="1">
      <c r="B247" s="857"/>
    </row>
    <row r="248" spans="2:2" s="207" customFormat="1">
      <c r="B248" s="857"/>
    </row>
    <row r="249" spans="2:2" s="207" customFormat="1">
      <c r="B249" s="857"/>
    </row>
    <row r="250" spans="2:2" s="207" customFormat="1">
      <c r="B250" s="857"/>
    </row>
    <row r="251" spans="2:2" s="207" customFormat="1">
      <c r="B251" s="857"/>
    </row>
    <row r="252" spans="2:2" s="207" customFormat="1">
      <c r="B252" s="857"/>
    </row>
    <row r="253" spans="2:2" s="207" customFormat="1">
      <c r="B253" s="857"/>
    </row>
    <row r="254" spans="2:2" s="207" customFormat="1">
      <c r="B254" s="857"/>
    </row>
    <row r="255" spans="2:2" s="207" customFormat="1">
      <c r="B255" s="857"/>
    </row>
    <row r="256" spans="2:2" s="207" customFormat="1">
      <c r="B256" s="857"/>
    </row>
    <row r="257" spans="2:2" s="207" customFormat="1">
      <c r="B257" s="857"/>
    </row>
    <row r="258" spans="2:2" s="207" customFormat="1">
      <c r="B258" s="857"/>
    </row>
    <row r="259" spans="2:2" s="207" customFormat="1">
      <c r="B259" s="857"/>
    </row>
    <row r="260" spans="2:2" s="207" customFormat="1">
      <c r="B260" s="857"/>
    </row>
    <row r="261" spans="2:2" s="207" customFormat="1">
      <c r="B261" s="857"/>
    </row>
    <row r="262" spans="2:2" s="207" customFormat="1">
      <c r="B262" s="857"/>
    </row>
    <row r="263" spans="2:2" s="207" customFormat="1">
      <c r="B263" s="857"/>
    </row>
    <row r="264" spans="2:2" s="207" customFormat="1">
      <c r="B264" s="857"/>
    </row>
    <row r="265" spans="2:2" s="207" customFormat="1">
      <c r="B265" s="857"/>
    </row>
    <row r="266" spans="2:2" s="207" customFormat="1">
      <c r="B266" s="857"/>
    </row>
    <row r="267" spans="2:2" s="207" customFormat="1">
      <c r="B267" s="857"/>
    </row>
    <row r="268" spans="2:2" s="207" customFormat="1">
      <c r="B268" s="857"/>
    </row>
    <row r="269" spans="2:2" s="207" customFormat="1">
      <c r="B269" s="857"/>
    </row>
    <row r="270" spans="2:2" s="207" customFormat="1">
      <c r="B270" s="857"/>
    </row>
    <row r="271" spans="2:2" s="207" customFormat="1">
      <c r="B271" s="857"/>
    </row>
    <row r="272" spans="2:2" s="207" customFormat="1">
      <c r="B272" s="857"/>
    </row>
    <row r="273" spans="2:2" s="207" customFormat="1">
      <c r="B273" s="857"/>
    </row>
    <row r="274" spans="2:2" s="207" customFormat="1">
      <c r="B274" s="857"/>
    </row>
    <row r="275" spans="2:2" s="207" customFormat="1">
      <c r="B275" s="857"/>
    </row>
    <row r="276" spans="2:2" s="207" customFormat="1">
      <c r="B276" s="857"/>
    </row>
    <row r="277" spans="2:2" s="207" customFormat="1">
      <c r="B277" s="857"/>
    </row>
    <row r="278" spans="2:2" s="207" customFormat="1">
      <c r="B278" s="857"/>
    </row>
    <row r="279" spans="2:2" s="207" customFormat="1">
      <c r="B279" s="857"/>
    </row>
    <row r="280" spans="2:2" s="207" customFormat="1">
      <c r="B280" s="857"/>
    </row>
    <row r="281" spans="2:2" s="207" customFormat="1">
      <c r="B281" s="857"/>
    </row>
    <row r="282" spans="2:2" s="207" customFormat="1">
      <c r="B282" s="857"/>
    </row>
    <row r="283" spans="2:2" s="207" customFormat="1">
      <c r="B283" s="857"/>
    </row>
    <row r="284" spans="2:2" s="207" customFormat="1">
      <c r="B284" s="857"/>
    </row>
    <row r="285" spans="2:2" s="207" customFormat="1">
      <c r="B285" s="857"/>
    </row>
    <row r="286" spans="2:2" s="207" customFormat="1">
      <c r="B286" s="857"/>
    </row>
    <row r="287" spans="2:2" s="207" customFormat="1">
      <c r="B287" s="857"/>
    </row>
    <row r="288" spans="2:2" s="207" customFormat="1">
      <c r="B288" s="857"/>
    </row>
    <row r="289" spans="2:2" s="207" customFormat="1">
      <c r="B289" s="857"/>
    </row>
    <row r="290" spans="2:2" s="207" customFormat="1">
      <c r="B290" s="857"/>
    </row>
    <row r="291" spans="2:2" s="207" customFormat="1">
      <c r="B291" s="857"/>
    </row>
    <row r="292" spans="2:2" s="207" customFormat="1">
      <c r="B292" s="857"/>
    </row>
    <row r="293" spans="2:2" s="207" customFormat="1">
      <c r="B293" s="857"/>
    </row>
    <row r="294" spans="2:2" s="207" customFormat="1">
      <c r="B294" s="857"/>
    </row>
    <row r="295" spans="2:2" s="207" customFormat="1">
      <c r="B295" s="857"/>
    </row>
    <row r="296" spans="2:2" s="207" customFormat="1">
      <c r="B296" s="857"/>
    </row>
    <row r="297" spans="2:2" s="207" customFormat="1">
      <c r="B297" s="857"/>
    </row>
    <row r="298" spans="2:2" s="207" customFormat="1">
      <c r="B298" s="857"/>
    </row>
    <row r="299" spans="2:2" s="207" customFormat="1">
      <c r="B299" s="857"/>
    </row>
    <row r="300" spans="2:2" s="207" customFormat="1">
      <c r="B300" s="857"/>
    </row>
    <row r="301" spans="2:2" s="207" customFormat="1">
      <c r="B301" s="857"/>
    </row>
    <row r="302" spans="2:2" s="207" customFormat="1">
      <c r="B302" s="857"/>
    </row>
    <row r="303" spans="2:2" s="207" customFormat="1">
      <c r="B303" s="857"/>
    </row>
    <row r="304" spans="2:2" s="207" customFormat="1">
      <c r="B304" s="857"/>
    </row>
    <row r="305" spans="2:2" s="207" customFormat="1">
      <c r="B305" s="857"/>
    </row>
    <row r="306" spans="2:2" s="207" customFormat="1">
      <c r="B306" s="857"/>
    </row>
    <row r="307" spans="2:2" s="207" customFormat="1">
      <c r="B307" s="857"/>
    </row>
    <row r="308" spans="2:2" s="207" customFormat="1">
      <c r="B308" s="857"/>
    </row>
    <row r="309" spans="2:2" s="207" customFormat="1">
      <c r="B309" s="857"/>
    </row>
    <row r="310" spans="2:2" s="207" customFormat="1">
      <c r="B310" s="857"/>
    </row>
    <row r="311" spans="2:2" s="207" customFormat="1">
      <c r="B311" s="857"/>
    </row>
    <row r="312" spans="2:2" s="207" customFormat="1">
      <c r="B312" s="857"/>
    </row>
    <row r="313" spans="2:2" s="207" customFormat="1">
      <c r="B313" s="857"/>
    </row>
    <row r="314" spans="2:2" s="207" customFormat="1">
      <c r="B314" s="857"/>
    </row>
    <row r="315" spans="2:2" s="207" customFormat="1">
      <c r="B315" s="857"/>
    </row>
    <row r="316" spans="2:2" s="207" customFormat="1">
      <c r="B316" s="857"/>
    </row>
    <row r="317" spans="2:2" s="207" customFormat="1">
      <c r="B317" s="857"/>
    </row>
    <row r="318" spans="2:2" s="207" customFormat="1">
      <c r="B318" s="857"/>
    </row>
    <row r="319" spans="2:2" s="207" customFormat="1">
      <c r="B319" s="857"/>
    </row>
    <row r="320" spans="2:2" s="207" customFormat="1">
      <c r="B320" s="857"/>
    </row>
    <row r="321" spans="2:2" s="207" customFormat="1">
      <c r="B321" s="857"/>
    </row>
    <row r="322" spans="2:2" s="207" customFormat="1">
      <c r="B322" s="857"/>
    </row>
    <row r="323" spans="2:2" s="207" customFormat="1">
      <c r="B323" s="857"/>
    </row>
    <row r="324" spans="2:2" s="207" customFormat="1">
      <c r="B324" s="857"/>
    </row>
    <row r="325" spans="2:2" s="207" customFormat="1">
      <c r="B325" s="857"/>
    </row>
    <row r="326" spans="2:2" s="207" customFormat="1">
      <c r="B326" s="857"/>
    </row>
    <row r="327" spans="2:2" s="207" customFormat="1">
      <c r="B327" s="857"/>
    </row>
    <row r="328" spans="2:2" s="207" customFormat="1">
      <c r="B328" s="857"/>
    </row>
    <row r="329" spans="2:2" s="207" customFormat="1">
      <c r="B329" s="857"/>
    </row>
    <row r="330" spans="2:2" s="207" customFormat="1">
      <c r="B330" s="857"/>
    </row>
    <row r="331" spans="2:2" s="207" customFormat="1">
      <c r="B331" s="857"/>
    </row>
    <row r="332" spans="2:2" s="207" customFormat="1">
      <c r="B332" s="857"/>
    </row>
    <row r="333" spans="2:2" s="207" customFormat="1">
      <c r="B333" s="857"/>
    </row>
    <row r="334" spans="2:2" s="207" customFormat="1">
      <c r="B334" s="857"/>
    </row>
    <row r="335" spans="2:2" s="207" customFormat="1">
      <c r="B335" s="857"/>
    </row>
    <row r="336" spans="2:2" s="207" customFormat="1">
      <c r="B336" s="857"/>
    </row>
    <row r="337" spans="2:2" s="207" customFormat="1">
      <c r="B337" s="857"/>
    </row>
    <row r="338" spans="2:2" s="207" customFormat="1">
      <c r="B338" s="857"/>
    </row>
    <row r="339" spans="2:2" s="207" customFormat="1">
      <c r="B339" s="857"/>
    </row>
    <row r="340" spans="2:2" s="207" customFormat="1">
      <c r="B340" s="857"/>
    </row>
    <row r="341" spans="2:2" s="207" customFormat="1">
      <c r="B341" s="857"/>
    </row>
    <row r="342" spans="2:2" s="207" customFormat="1">
      <c r="B342" s="857"/>
    </row>
    <row r="343" spans="2:2" s="207" customFormat="1">
      <c r="B343" s="857"/>
    </row>
    <row r="344" spans="2:2" s="207" customFormat="1">
      <c r="B344" s="857"/>
    </row>
    <row r="345" spans="2:2" s="207" customFormat="1">
      <c r="B345" s="857"/>
    </row>
    <row r="346" spans="2:2" s="207" customFormat="1">
      <c r="B346" s="857"/>
    </row>
    <row r="347" spans="2:2" s="207" customFormat="1">
      <c r="B347" s="857"/>
    </row>
    <row r="348" spans="2:2" s="207" customFormat="1">
      <c r="B348" s="857"/>
    </row>
    <row r="349" spans="2:2" s="207" customFormat="1">
      <c r="B349" s="857"/>
    </row>
    <row r="350" spans="2:2" s="207" customFormat="1">
      <c r="B350" s="857"/>
    </row>
    <row r="351" spans="2:2" s="207" customFormat="1">
      <c r="B351" s="857"/>
    </row>
    <row r="352" spans="2:2" s="207" customFormat="1">
      <c r="B352" s="857"/>
    </row>
    <row r="353" spans="2:2" s="207" customFormat="1">
      <c r="B353" s="857"/>
    </row>
    <row r="354" spans="2:2" s="207" customFormat="1">
      <c r="B354" s="857"/>
    </row>
    <row r="355" spans="2:2" s="207" customFormat="1">
      <c r="B355" s="857"/>
    </row>
    <row r="356" spans="2:2" s="207" customFormat="1">
      <c r="B356" s="857"/>
    </row>
    <row r="357" spans="2:2" s="207" customFormat="1">
      <c r="B357" s="857"/>
    </row>
    <row r="358" spans="2:2" s="207" customFormat="1">
      <c r="B358" s="857"/>
    </row>
    <row r="359" spans="2:2" s="207" customFormat="1">
      <c r="B359" s="857"/>
    </row>
    <row r="360" spans="2:2" s="207" customFormat="1">
      <c r="B360" s="857"/>
    </row>
    <row r="361" spans="2:2" s="207" customFormat="1">
      <c r="B361" s="857"/>
    </row>
    <row r="362" spans="2:2" s="207" customFormat="1">
      <c r="B362" s="857"/>
    </row>
    <row r="363" spans="2:2" s="207" customFormat="1">
      <c r="B363" s="857"/>
    </row>
    <row r="364" spans="2:2" s="207" customFormat="1">
      <c r="B364" s="857"/>
    </row>
    <row r="365" spans="2:2" s="207" customFormat="1">
      <c r="B365" s="857"/>
    </row>
    <row r="366" spans="2:2" s="207" customFormat="1">
      <c r="B366" s="857"/>
    </row>
    <row r="367" spans="2:2" s="207" customFormat="1">
      <c r="B367" s="857"/>
    </row>
    <row r="368" spans="2:2" s="207" customFormat="1">
      <c r="B368" s="857"/>
    </row>
    <row r="369" spans="2:2" s="207" customFormat="1">
      <c r="B369" s="857"/>
    </row>
    <row r="370" spans="2:2" s="207" customFormat="1">
      <c r="B370" s="857"/>
    </row>
    <row r="371" spans="2:2" s="207" customFormat="1">
      <c r="B371" s="857"/>
    </row>
    <row r="372" spans="2:2" s="207" customFormat="1">
      <c r="B372" s="857"/>
    </row>
    <row r="373" spans="2:2" s="207" customFormat="1">
      <c r="B373" s="857"/>
    </row>
    <row r="374" spans="2:2" s="207" customFormat="1">
      <c r="B374" s="857"/>
    </row>
    <row r="375" spans="2:2" s="207" customFormat="1">
      <c r="B375" s="857"/>
    </row>
    <row r="376" spans="2:2" s="207" customFormat="1">
      <c r="B376" s="857"/>
    </row>
    <row r="377" spans="2:2" s="207" customFormat="1">
      <c r="B377" s="857"/>
    </row>
    <row r="378" spans="2:2" s="207" customFormat="1">
      <c r="B378" s="857"/>
    </row>
    <row r="379" spans="2:2" s="207" customFormat="1">
      <c r="B379" s="857"/>
    </row>
    <row r="380" spans="2:2" s="207" customFormat="1">
      <c r="B380" s="857"/>
    </row>
    <row r="381" spans="2:2" s="207" customFormat="1">
      <c r="B381" s="857"/>
    </row>
    <row r="382" spans="2:2" s="207" customFormat="1">
      <c r="B382" s="857"/>
    </row>
    <row r="383" spans="2:2" s="207" customFormat="1">
      <c r="B383" s="857"/>
    </row>
    <row r="384" spans="2:2" s="207" customFormat="1">
      <c r="B384" s="857"/>
    </row>
    <row r="385" spans="2:2" s="207" customFormat="1">
      <c r="B385" s="857"/>
    </row>
    <row r="386" spans="2:2" s="207" customFormat="1">
      <c r="B386" s="857"/>
    </row>
    <row r="387" spans="2:2" s="207" customFormat="1">
      <c r="B387" s="857"/>
    </row>
    <row r="388" spans="2:2" s="207" customFormat="1">
      <c r="B388" s="857"/>
    </row>
    <row r="389" spans="2:2" s="207" customFormat="1">
      <c r="B389" s="857"/>
    </row>
    <row r="390" spans="2:2" s="207" customFormat="1">
      <c r="B390" s="857"/>
    </row>
    <row r="391" spans="2:2" s="207" customFormat="1">
      <c r="B391" s="857"/>
    </row>
    <row r="392" spans="2:2" s="207" customFormat="1">
      <c r="B392" s="857"/>
    </row>
    <row r="393" spans="2:2" s="207" customFormat="1">
      <c r="B393" s="857"/>
    </row>
    <row r="394" spans="2:2" s="207" customFormat="1">
      <c r="B394" s="857"/>
    </row>
    <row r="395" spans="2:2" s="207" customFormat="1">
      <c r="B395" s="857"/>
    </row>
    <row r="396" spans="2:2" s="207" customFormat="1">
      <c r="B396" s="857"/>
    </row>
    <row r="397" spans="2:2" s="207" customFormat="1">
      <c r="B397" s="857"/>
    </row>
    <row r="398" spans="2:2" s="207" customFormat="1">
      <c r="B398" s="857"/>
    </row>
    <row r="399" spans="2:2" s="207" customFormat="1">
      <c r="B399" s="857"/>
    </row>
    <row r="400" spans="2:2" s="207" customFormat="1">
      <c r="B400" s="857"/>
    </row>
    <row r="401" spans="2:2" s="207" customFormat="1">
      <c r="B401" s="857"/>
    </row>
    <row r="402" spans="2:2" s="207" customFormat="1">
      <c r="B402" s="857"/>
    </row>
    <row r="403" spans="2:2" s="207" customFormat="1">
      <c r="B403" s="857"/>
    </row>
    <row r="404" spans="2:2" s="207" customFormat="1">
      <c r="B404" s="857"/>
    </row>
    <row r="405" spans="2:2" s="207" customFormat="1">
      <c r="B405" s="857"/>
    </row>
    <row r="406" spans="2:2" s="207" customFormat="1">
      <c r="B406" s="857"/>
    </row>
    <row r="407" spans="2:2" s="207" customFormat="1">
      <c r="B407" s="857"/>
    </row>
    <row r="408" spans="2:2" s="207" customFormat="1">
      <c r="B408" s="857"/>
    </row>
    <row r="409" spans="2:2" s="207" customFormat="1">
      <c r="B409" s="857"/>
    </row>
    <row r="410" spans="2:2" s="207" customFormat="1">
      <c r="B410" s="857"/>
    </row>
    <row r="411" spans="2:2" s="207" customFormat="1">
      <c r="B411" s="857"/>
    </row>
    <row r="412" spans="2:2" s="207" customFormat="1">
      <c r="B412" s="857"/>
    </row>
    <row r="413" spans="2:2" s="207" customFormat="1">
      <c r="B413" s="857"/>
    </row>
    <row r="414" spans="2:2" s="207" customFormat="1">
      <c r="B414" s="857"/>
    </row>
    <row r="415" spans="2:2" s="207" customFormat="1">
      <c r="B415" s="857"/>
    </row>
    <row r="416" spans="2:2" s="207" customFormat="1">
      <c r="B416" s="857"/>
    </row>
    <row r="417" spans="2:2" s="207" customFormat="1">
      <c r="B417" s="857"/>
    </row>
    <row r="418" spans="2:2" s="207" customFormat="1">
      <c r="B418" s="857"/>
    </row>
    <row r="419" spans="2:2" s="207" customFormat="1">
      <c r="B419" s="857"/>
    </row>
    <row r="420" spans="2:2" s="207" customFormat="1">
      <c r="B420" s="857"/>
    </row>
    <row r="421" spans="2:2" s="207" customFormat="1">
      <c r="B421" s="857"/>
    </row>
    <row r="422" spans="2:2" s="207" customFormat="1">
      <c r="B422" s="857"/>
    </row>
    <row r="423" spans="2:2" s="207" customFormat="1">
      <c r="B423" s="857"/>
    </row>
    <row r="424" spans="2:2" s="207" customFormat="1">
      <c r="B424" s="857"/>
    </row>
    <row r="425" spans="2:2" s="207" customFormat="1">
      <c r="B425" s="857"/>
    </row>
    <row r="426" spans="2:2" s="207" customFormat="1">
      <c r="B426" s="857"/>
    </row>
    <row r="427" spans="2:2" s="207" customFormat="1">
      <c r="B427" s="857"/>
    </row>
    <row r="428" spans="2:2" s="207" customFormat="1">
      <c r="B428" s="857"/>
    </row>
    <row r="429" spans="2:2" s="207" customFormat="1">
      <c r="B429" s="857"/>
    </row>
    <row r="430" spans="2:2" s="207" customFormat="1">
      <c r="B430" s="857"/>
    </row>
    <row r="431" spans="2:2" s="207" customFormat="1">
      <c r="B431" s="857"/>
    </row>
    <row r="432" spans="2:2" s="207" customFormat="1">
      <c r="B432" s="857"/>
    </row>
    <row r="433" spans="2:2" s="207" customFormat="1">
      <c r="B433" s="857"/>
    </row>
    <row r="434" spans="2:2" s="207" customFormat="1">
      <c r="B434" s="857"/>
    </row>
    <row r="435" spans="2:2" s="207" customFormat="1">
      <c r="B435" s="857"/>
    </row>
    <row r="436" spans="2:2" s="207" customFormat="1">
      <c r="B436" s="857"/>
    </row>
    <row r="437" spans="2:2" s="207" customFormat="1">
      <c r="B437" s="857"/>
    </row>
    <row r="438" spans="2:2" s="207" customFormat="1">
      <c r="B438" s="857"/>
    </row>
    <row r="439" spans="2:2" s="207" customFormat="1">
      <c r="B439" s="857"/>
    </row>
    <row r="440" spans="2:2" s="207" customFormat="1">
      <c r="B440" s="857"/>
    </row>
    <row r="441" spans="2:2" s="207" customFormat="1">
      <c r="B441" s="857"/>
    </row>
    <row r="442" spans="2:2" s="207" customFormat="1">
      <c r="B442" s="857"/>
    </row>
    <row r="443" spans="2:2" s="207" customFormat="1">
      <c r="B443" s="857"/>
    </row>
    <row r="444" spans="2:2" s="207" customFormat="1">
      <c r="B444" s="857"/>
    </row>
    <row r="445" spans="2:2" s="207" customFormat="1">
      <c r="B445" s="857"/>
    </row>
    <row r="446" spans="2:2" s="207" customFormat="1">
      <c r="B446" s="857"/>
    </row>
    <row r="447" spans="2:2" s="207" customFormat="1">
      <c r="B447" s="857"/>
    </row>
    <row r="448" spans="2:2" s="207" customFormat="1">
      <c r="B448" s="857"/>
    </row>
    <row r="449" spans="2:2" s="207" customFormat="1">
      <c r="B449" s="857"/>
    </row>
    <row r="450" spans="2:2" s="207" customFormat="1">
      <c r="B450" s="857"/>
    </row>
    <row r="451" spans="2:2" s="207" customFormat="1">
      <c r="B451" s="857"/>
    </row>
    <row r="452" spans="2:2" s="207" customFormat="1">
      <c r="B452" s="857"/>
    </row>
    <row r="453" spans="2:2" s="207" customFormat="1">
      <c r="B453" s="857"/>
    </row>
    <row r="454" spans="2:2" s="207" customFormat="1">
      <c r="B454" s="857"/>
    </row>
    <row r="455" spans="2:2" s="207" customFormat="1">
      <c r="B455" s="857"/>
    </row>
    <row r="456" spans="2:2" s="207" customFormat="1">
      <c r="B456" s="857"/>
    </row>
    <row r="457" spans="2:2" s="207" customFormat="1">
      <c r="B457" s="857"/>
    </row>
    <row r="458" spans="2:2" s="207" customFormat="1">
      <c r="B458" s="857"/>
    </row>
    <row r="459" spans="2:2" s="207" customFormat="1">
      <c r="B459" s="857"/>
    </row>
    <row r="460" spans="2:2" s="207" customFormat="1">
      <c r="B460" s="857"/>
    </row>
    <row r="461" spans="2:2" s="207" customFormat="1">
      <c r="B461" s="857"/>
    </row>
    <row r="462" spans="2:2" s="207" customFormat="1">
      <c r="B462" s="857"/>
    </row>
    <row r="463" spans="2:2" s="207" customFormat="1">
      <c r="B463" s="857"/>
    </row>
    <row r="464" spans="2:2" s="207" customFormat="1">
      <c r="B464" s="857"/>
    </row>
    <row r="465" spans="2:2" s="207" customFormat="1">
      <c r="B465" s="857"/>
    </row>
    <row r="466" spans="2:2" s="207" customFormat="1">
      <c r="B466" s="857"/>
    </row>
    <row r="467" spans="2:2" s="207" customFormat="1">
      <c r="B467" s="857"/>
    </row>
    <row r="468" spans="2:2" s="207" customFormat="1">
      <c r="B468" s="857"/>
    </row>
    <row r="469" spans="2:2" s="207" customFormat="1">
      <c r="B469" s="857"/>
    </row>
    <row r="470" spans="2:2" s="207" customFormat="1">
      <c r="B470" s="857"/>
    </row>
    <row r="471" spans="2:2" s="207" customFormat="1">
      <c r="B471" s="857"/>
    </row>
    <row r="472" spans="2:2" s="207" customFormat="1">
      <c r="B472" s="857"/>
    </row>
    <row r="473" spans="2:2" s="207" customFormat="1">
      <c r="B473" s="857"/>
    </row>
    <row r="474" spans="2:2" s="207" customFormat="1">
      <c r="B474" s="857"/>
    </row>
    <row r="475" spans="2:2" s="207" customFormat="1">
      <c r="B475" s="857"/>
    </row>
    <row r="476" spans="2:2" s="207" customFormat="1">
      <c r="B476" s="857"/>
    </row>
    <row r="477" spans="2:2" s="207" customFormat="1">
      <c r="B477" s="857"/>
    </row>
    <row r="478" spans="2:2" s="207" customFormat="1">
      <c r="B478" s="857"/>
    </row>
    <row r="479" spans="2:2" s="207" customFormat="1">
      <c r="B479" s="857"/>
    </row>
    <row r="480" spans="2:2" s="207" customFormat="1">
      <c r="B480" s="857"/>
    </row>
    <row r="481" spans="2:2" s="207" customFormat="1">
      <c r="B481" s="857"/>
    </row>
    <row r="482" spans="2:2" s="207" customFormat="1">
      <c r="B482" s="857"/>
    </row>
    <row r="483" spans="2:2" s="207" customFormat="1">
      <c r="B483" s="857"/>
    </row>
    <row r="484" spans="2:2" s="207" customFormat="1">
      <c r="B484" s="857"/>
    </row>
    <row r="485" spans="2:2" s="207" customFormat="1">
      <c r="B485" s="857"/>
    </row>
    <row r="486" spans="2:2" s="207" customFormat="1">
      <c r="B486" s="857"/>
    </row>
    <row r="487" spans="2:2" s="207" customFormat="1">
      <c r="B487" s="857"/>
    </row>
    <row r="488" spans="2:2" s="207" customFormat="1">
      <c r="B488" s="857"/>
    </row>
    <row r="489" spans="2:2" s="207" customFormat="1">
      <c r="B489" s="857"/>
    </row>
    <row r="490" spans="2:2" s="207" customFormat="1">
      <c r="B490" s="857"/>
    </row>
    <row r="491" spans="2:2" s="207" customFormat="1">
      <c r="B491" s="857"/>
    </row>
    <row r="492" spans="2:2" s="207" customFormat="1">
      <c r="B492" s="857"/>
    </row>
    <row r="493" spans="2:2" s="207" customFormat="1">
      <c r="B493" s="857"/>
    </row>
    <row r="494" spans="2:2" s="207" customFormat="1">
      <c r="B494" s="857"/>
    </row>
    <row r="495" spans="2:2" s="207" customFormat="1">
      <c r="B495" s="857"/>
    </row>
    <row r="496" spans="2:2" s="207" customFormat="1">
      <c r="B496" s="857"/>
    </row>
    <row r="497" spans="2:2" s="207" customFormat="1">
      <c r="B497" s="857"/>
    </row>
    <row r="498" spans="2:2" s="207" customFormat="1">
      <c r="B498" s="857"/>
    </row>
    <row r="499" spans="2:2" s="207" customFormat="1">
      <c r="B499" s="857"/>
    </row>
    <row r="500" spans="2:2" s="207" customFormat="1">
      <c r="B500" s="857"/>
    </row>
    <row r="501" spans="2:2" s="207" customFormat="1">
      <c r="B501" s="857"/>
    </row>
    <row r="502" spans="2:2" s="207" customFormat="1">
      <c r="B502" s="857"/>
    </row>
    <row r="503" spans="2:2" s="207" customFormat="1">
      <c r="B503" s="857"/>
    </row>
    <row r="504" spans="2:2" s="207" customFormat="1">
      <c r="B504" s="857"/>
    </row>
    <row r="505" spans="2:2" s="207" customFormat="1">
      <c r="B505" s="857"/>
    </row>
    <row r="506" spans="2:2" s="207" customFormat="1">
      <c r="B506" s="857"/>
    </row>
    <row r="507" spans="2:2" s="207" customFormat="1">
      <c r="B507" s="857"/>
    </row>
    <row r="508" spans="2:2" s="207" customFormat="1">
      <c r="B508" s="857"/>
    </row>
    <row r="509" spans="2:2" s="207" customFormat="1">
      <c r="B509" s="857"/>
    </row>
    <row r="510" spans="2:2" s="207" customFormat="1">
      <c r="B510" s="857"/>
    </row>
    <row r="511" spans="2:2" s="207" customFormat="1">
      <c r="B511" s="857"/>
    </row>
    <row r="512" spans="2:2" s="207" customFormat="1">
      <c r="B512" s="857"/>
    </row>
    <row r="513" spans="2:2" s="207" customFormat="1">
      <c r="B513" s="857"/>
    </row>
    <row r="514" spans="2:2" s="207" customFormat="1">
      <c r="B514" s="857"/>
    </row>
    <row r="515" spans="2:2" s="207" customFormat="1">
      <c r="B515" s="857"/>
    </row>
    <row r="516" spans="2:2" s="207" customFormat="1">
      <c r="B516" s="857"/>
    </row>
    <row r="517" spans="2:2" s="207" customFormat="1">
      <c r="B517" s="857"/>
    </row>
    <row r="518" spans="2:2" s="207" customFormat="1">
      <c r="B518" s="857"/>
    </row>
    <row r="519" spans="2:2" s="207" customFormat="1">
      <c r="B519" s="857"/>
    </row>
    <row r="520" spans="2:2" s="207" customFormat="1">
      <c r="B520" s="857"/>
    </row>
    <row r="521" spans="2:2" s="207" customFormat="1">
      <c r="B521" s="857"/>
    </row>
    <row r="522" spans="2:2" s="207" customFormat="1">
      <c r="B522" s="857"/>
    </row>
    <row r="523" spans="2:2" s="207" customFormat="1">
      <c r="B523" s="857"/>
    </row>
    <row r="524" spans="2:2" s="207" customFormat="1">
      <c r="B524" s="857"/>
    </row>
    <row r="525" spans="2:2" s="207" customFormat="1">
      <c r="B525" s="857"/>
    </row>
    <row r="526" spans="2:2" s="207" customFormat="1">
      <c r="B526" s="857"/>
    </row>
    <row r="527" spans="2:2" s="207" customFormat="1">
      <c r="B527" s="857"/>
    </row>
    <row r="528" spans="2:2" s="207" customFormat="1">
      <c r="B528" s="857"/>
    </row>
    <row r="529" spans="2:2" s="207" customFormat="1">
      <c r="B529" s="857"/>
    </row>
    <row r="530" spans="2:2" s="207" customFormat="1">
      <c r="B530" s="857"/>
    </row>
    <row r="531" spans="2:2" s="207" customFormat="1">
      <c r="B531" s="857"/>
    </row>
    <row r="532" spans="2:2" s="207" customFormat="1">
      <c r="B532" s="857"/>
    </row>
    <row r="533" spans="2:2" s="207" customFormat="1">
      <c r="B533" s="857"/>
    </row>
    <row r="534" spans="2:2" s="207" customFormat="1">
      <c r="B534" s="857"/>
    </row>
    <row r="535" spans="2:2" s="207" customFormat="1">
      <c r="B535" s="857"/>
    </row>
    <row r="536" spans="2:2" s="207" customFormat="1">
      <c r="B536" s="857"/>
    </row>
    <row r="537" spans="2:2" s="207" customFormat="1">
      <c r="B537" s="857"/>
    </row>
    <row r="538" spans="2:2" s="207" customFormat="1">
      <c r="B538" s="857"/>
    </row>
    <row r="539" spans="2:2" s="207" customFormat="1">
      <c r="B539" s="857"/>
    </row>
    <row r="540" spans="2:2" s="207" customFormat="1">
      <c r="B540" s="857"/>
    </row>
    <row r="541" spans="2:2" s="207" customFormat="1">
      <c r="B541" s="857"/>
    </row>
    <row r="542" spans="2:2" s="207" customFormat="1">
      <c r="B542" s="857"/>
    </row>
    <row r="543" spans="2:2" s="207" customFormat="1">
      <c r="B543" s="857"/>
    </row>
    <row r="544" spans="2:2" s="207" customFormat="1">
      <c r="B544" s="857"/>
    </row>
    <row r="545" spans="2:2" s="207" customFormat="1">
      <c r="B545" s="857"/>
    </row>
    <row r="546" spans="2:2" s="207" customFormat="1">
      <c r="B546" s="857"/>
    </row>
    <row r="547" spans="2:2" s="207" customFormat="1">
      <c r="B547" s="857"/>
    </row>
    <row r="548" spans="2:2" s="207" customFormat="1">
      <c r="B548" s="857"/>
    </row>
    <row r="549" spans="2:2" s="207" customFormat="1">
      <c r="B549" s="857"/>
    </row>
    <row r="550" spans="2:2" s="207" customFormat="1">
      <c r="B550" s="857"/>
    </row>
    <row r="551" spans="2:2" s="207" customFormat="1">
      <c r="B551" s="857"/>
    </row>
    <row r="552" spans="2:2" s="207" customFormat="1">
      <c r="B552" s="857"/>
    </row>
    <row r="553" spans="2:2" s="207" customFormat="1">
      <c r="B553" s="857"/>
    </row>
    <row r="554" spans="2:2" s="207" customFormat="1">
      <c r="B554" s="857"/>
    </row>
    <row r="555" spans="2:2" s="207" customFormat="1">
      <c r="B555" s="857"/>
    </row>
    <row r="556" spans="2:2" s="207" customFormat="1">
      <c r="B556" s="857"/>
    </row>
    <row r="557" spans="2:2" s="207" customFormat="1">
      <c r="B557" s="857"/>
    </row>
    <row r="558" spans="2:2" s="207" customFormat="1">
      <c r="B558" s="857"/>
    </row>
    <row r="559" spans="2:2" s="207" customFormat="1">
      <c r="B559" s="857"/>
    </row>
    <row r="560" spans="2:2" s="207" customFormat="1">
      <c r="B560" s="857"/>
    </row>
    <row r="561" spans="2:2" s="207" customFormat="1">
      <c r="B561" s="857"/>
    </row>
    <row r="562" spans="2:2" s="207" customFormat="1">
      <c r="B562" s="857"/>
    </row>
    <row r="563" spans="2:2" s="207" customFormat="1">
      <c r="B563" s="857"/>
    </row>
    <row r="564" spans="2:2" s="207" customFormat="1">
      <c r="B564" s="857"/>
    </row>
    <row r="565" spans="2:2" s="207" customFormat="1">
      <c r="B565" s="857"/>
    </row>
    <row r="566" spans="2:2" s="207" customFormat="1">
      <c r="B566" s="857"/>
    </row>
    <row r="567" spans="2:2" s="207" customFormat="1">
      <c r="B567" s="857"/>
    </row>
    <row r="568" spans="2:2" s="207" customFormat="1">
      <c r="B568" s="857"/>
    </row>
    <row r="569" spans="2:2" s="207" customFormat="1">
      <c r="B569" s="857"/>
    </row>
    <row r="570" spans="2:2" s="207" customFormat="1">
      <c r="B570" s="857"/>
    </row>
    <row r="571" spans="2:2" s="207" customFormat="1">
      <c r="B571" s="857"/>
    </row>
    <row r="572" spans="2:2" s="207" customFormat="1">
      <c r="B572" s="857"/>
    </row>
    <row r="573" spans="2:2" s="207" customFormat="1">
      <c r="B573" s="857"/>
    </row>
    <row r="574" spans="2:2" s="207" customFormat="1">
      <c r="B574" s="857"/>
    </row>
    <row r="575" spans="2:2" s="207" customFormat="1">
      <c r="B575" s="857"/>
    </row>
    <row r="576" spans="2:2" s="207" customFormat="1">
      <c r="B576" s="857"/>
    </row>
    <row r="577" spans="2:2" s="207" customFormat="1">
      <c r="B577" s="857"/>
    </row>
    <row r="578" spans="2:2" s="207" customFormat="1">
      <c r="B578" s="857"/>
    </row>
    <row r="579" spans="2:2" s="207" customFormat="1">
      <c r="B579" s="857"/>
    </row>
    <row r="580" spans="2:2" s="207" customFormat="1">
      <c r="B580" s="857"/>
    </row>
    <row r="581" spans="2:2" s="207" customFormat="1">
      <c r="B581" s="857"/>
    </row>
    <row r="582" spans="2:2" s="207" customFormat="1">
      <c r="B582" s="857"/>
    </row>
    <row r="583" spans="2:2" s="207" customFormat="1">
      <c r="B583" s="857"/>
    </row>
    <row r="584" spans="2:2" s="207" customFormat="1">
      <c r="B584" s="857"/>
    </row>
    <row r="585" spans="2:2" s="207" customFormat="1">
      <c r="B585" s="857"/>
    </row>
    <row r="586" spans="2:2" s="207" customFormat="1">
      <c r="B586" s="857"/>
    </row>
    <row r="587" spans="2:2" s="207" customFormat="1">
      <c r="B587" s="857"/>
    </row>
    <row r="588" spans="2:2" s="207" customFormat="1">
      <c r="B588" s="857"/>
    </row>
    <row r="589" spans="2:2" s="207" customFormat="1">
      <c r="B589" s="857"/>
    </row>
    <row r="590" spans="2:2" s="207" customFormat="1">
      <c r="B590" s="857"/>
    </row>
    <row r="591" spans="2:2" s="207" customFormat="1">
      <c r="B591" s="857"/>
    </row>
    <row r="592" spans="2:2" s="207" customFormat="1">
      <c r="B592" s="857"/>
    </row>
    <row r="593" spans="2:2" s="207" customFormat="1">
      <c r="B593" s="857"/>
    </row>
    <row r="594" spans="2:2" s="207" customFormat="1">
      <c r="B594" s="857"/>
    </row>
    <row r="595" spans="2:2" s="207" customFormat="1">
      <c r="B595" s="857"/>
    </row>
    <row r="596" spans="2:2" s="207" customFormat="1">
      <c r="B596" s="857"/>
    </row>
    <row r="597" spans="2:2" s="207" customFormat="1">
      <c r="B597" s="857"/>
    </row>
    <row r="598" spans="2:2" s="207" customFormat="1">
      <c r="B598" s="857"/>
    </row>
    <row r="599" spans="2:2" s="207" customFormat="1">
      <c r="B599" s="857"/>
    </row>
    <row r="600" spans="2:2" s="207" customFormat="1">
      <c r="B600" s="857"/>
    </row>
    <row r="601" spans="2:2" s="207" customFormat="1">
      <c r="B601" s="857"/>
    </row>
    <row r="602" spans="2:2" s="207" customFormat="1">
      <c r="B602" s="857"/>
    </row>
    <row r="603" spans="2:2" s="207" customFormat="1">
      <c r="B603" s="857"/>
    </row>
    <row r="604" spans="2:2" s="207" customFormat="1">
      <c r="B604" s="85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3"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  <mergeCell ref="O50:Q50"/>
    <mergeCell ref="O51:Q51"/>
    <mergeCell ref="O52:Q52"/>
    <mergeCell ref="O53:Q53"/>
    <mergeCell ref="O49:S49"/>
    <mergeCell ref="O44:Q44"/>
    <mergeCell ref="O47:Q47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38:S38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2"/>
  <sheetViews>
    <sheetView zoomScale="150" zoomScaleNormal="150" workbookViewId="0">
      <pane xSplit="1" ySplit="5" topLeftCell="J41" activePane="bottomRight" state="frozen"/>
      <selection activeCell="F85" sqref="F85"/>
      <selection pane="topRight" activeCell="F85" sqref="F85"/>
      <selection pane="bottomLeft" activeCell="F85" sqref="F85"/>
      <selection pane="bottomRight" activeCell="L44" sqref="L44:L48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.75">
      <c r="B1" s="577"/>
      <c r="C1" s="577"/>
      <c r="D1" s="1911" t="s">
        <v>880</v>
      </c>
      <c r="E1" s="1911"/>
      <c r="F1" s="1911"/>
      <c r="G1" s="1918" t="s">
        <v>475</v>
      </c>
      <c r="H1" s="1918"/>
      <c r="I1" s="1918"/>
      <c r="J1" s="577"/>
      <c r="K1" s="1279" t="s">
        <v>222</v>
      </c>
    </row>
    <row r="2" spans="1:14" s="182" customFormat="1" ht="12">
      <c r="F2" s="1378"/>
      <c r="K2" s="1280" t="s">
        <v>24</v>
      </c>
    </row>
    <row r="3" spans="1:14" s="182" customFormat="1" ht="15.75" customHeight="1">
      <c r="A3" s="1832" t="s">
        <v>1027</v>
      </c>
      <c r="B3" s="1786" t="s">
        <v>527</v>
      </c>
      <c r="C3" s="1955" t="s">
        <v>1314</v>
      </c>
      <c r="D3" s="1818" t="s">
        <v>897</v>
      </c>
      <c r="E3" s="1860"/>
      <c r="F3" s="1861"/>
      <c r="G3" s="1860" t="s">
        <v>157</v>
      </c>
      <c r="H3" s="1860"/>
      <c r="I3" s="1861"/>
      <c r="J3" s="1786" t="s">
        <v>844</v>
      </c>
      <c r="K3" s="1786" t="s">
        <v>978</v>
      </c>
    </row>
    <row r="4" spans="1:14" s="182" customFormat="1" ht="15" customHeight="1">
      <c r="A4" s="1832"/>
      <c r="B4" s="1787"/>
      <c r="C4" s="1787"/>
      <c r="D4" s="1278" t="s">
        <v>425</v>
      </c>
      <c r="E4" s="1278" t="s">
        <v>521</v>
      </c>
      <c r="F4" s="1371" t="s">
        <v>428</v>
      </c>
      <c r="G4" s="1278" t="s">
        <v>425</v>
      </c>
      <c r="H4" s="1278" t="s">
        <v>521</v>
      </c>
      <c r="I4" s="1277" t="s">
        <v>520</v>
      </c>
      <c r="J4" s="1787"/>
      <c r="K4" s="1787"/>
    </row>
    <row r="5" spans="1:14" s="579" customFormat="1" ht="11.25" customHeight="1">
      <c r="A5" s="1832"/>
      <c r="B5" s="368">
        <v>1</v>
      </c>
      <c r="C5" s="368">
        <v>2</v>
      </c>
      <c r="D5" s="578">
        <v>3</v>
      </c>
      <c r="E5" s="562">
        <v>4</v>
      </c>
      <c r="F5" s="578" t="s">
        <v>223</v>
      </c>
      <c r="G5" s="368">
        <v>6</v>
      </c>
      <c r="H5" s="368">
        <v>7</v>
      </c>
      <c r="I5" s="368" t="s">
        <v>226</v>
      </c>
      <c r="J5" s="562">
        <v>9</v>
      </c>
      <c r="K5" s="562" t="s">
        <v>224</v>
      </c>
    </row>
    <row r="6" spans="1:14" ht="12.95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2.95" customHeight="1">
      <c r="A7" s="340" t="s">
        <v>198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2.95" customHeight="1">
      <c r="A8" s="152" t="s">
        <v>789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2.95" customHeight="1">
      <c r="A9" s="438" t="s">
        <v>905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2.95" customHeight="1">
      <c r="A10" s="424" t="s">
        <v>1104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2.95" customHeight="1">
      <c r="A11" s="438" t="s">
        <v>1163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2.95" customHeight="1">
      <c r="A12" s="424" t="s">
        <v>1295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2.95" customHeight="1">
      <c r="A13" s="438" t="s">
        <v>1328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2.95" customHeight="1">
      <c r="A14" s="591" t="s">
        <v>1467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2.95" customHeight="1">
      <c r="A15" s="1612" t="s">
        <v>1596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2.95" customHeight="1">
      <c r="A16" s="984" t="s">
        <v>1691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2.95" customHeight="1">
      <c r="A17" s="1281" t="s">
        <v>1760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2.95" customHeight="1">
      <c r="A18" s="424" t="s">
        <v>603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2.95" customHeight="1">
      <c r="A19" s="438" t="s">
        <v>604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2.95" customHeight="1">
      <c r="A20" s="424" t="s">
        <v>598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2.95" customHeight="1">
      <c r="A21" s="438" t="s">
        <v>605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2.95" customHeight="1">
      <c r="A22" s="424" t="s">
        <v>606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2.95" customHeight="1">
      <c r="A23" s="438" t="s">
        <v>599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2.95" customHeight="1">
      <c r="A24" s="424" t="s">
        <v>607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2.95" customHeight="1">
      <c r="A25" s="438" t="s">
        <v>608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2.95" customHeight="1">
      <c r="A26" s="424" t="s">
        <v>600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2.95" customHeight="1">
      <c r="A27" s="438" t="s">
        <v>609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2.95" customHeight="1">
      <c r="A28" s="424" t="s">
        <v>610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2.95" customHeight="1">
      <c r="A29" s="438" t="s">
        <v>601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2.95" customHeight="1">
      <c r="A30" s="984" t="s">
        <v>2160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2.95" customHeight="1">
      <c r="A31" s="438" t="s">
        <v>603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48" si="8">D31+E31</f>
        <v>30974.491262059335</v>
      </c>
      <c r="G31" s="503">
        <v>18662.455745450501</v>
      </c>
      <c r="H31" s="503">
        <v>994409.93916433328</v>
      </c>
      <c r="I31" s="503">
        <f t="shared" ref="I31:I48" si="9">G31+H31</f>
        <v>1013072.3949097837</v>
      </c>
      <c r="J31" s="316">
        <v>235007.21382815702</v>
      </c>
      <c r="K31" s="316">
        <f t="shared" ref="K31:K48" si="10">B31+C31+F31+I31+J31</f>
        <v>1853859.5</v>
      </c>
      <c r="L31" s="580"/>
      <c r="M31" s="580"/>
      <c r="N31" s="580"/>
      <c r="O31" s="580"/>
    </row>
    <row r="32" spans="1:15" ht="12.95" customHeight="1">
      <c r="A32" s="424" t="s">
        <v>604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2.95" customHeight="1">
      <c r="A33" s="438" t="s">
        <v>598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2.95" customHeight="1">
      <c r="A34" s="424" t="s">
        <v>605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2.95" customHeight="1">
      <c r="A35" s="438" t="s">
        <v>606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2.95" customHeight="1">
      <c r="A36" s="424" t="s">
        <v>599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2.95" customHeight="1">
      <c r="A37" s="438" t="s">
        <v>607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2.95" customHeight="1">
      <c r="A38" s="424" t="s">
        <v>608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2.95" customHeight="1">
      <c r="A39" s="438" t="s">
        <v>600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2.95" customHeight="1">
      <c r="A40" s="424" t="s">
        <v>609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2.95" customHeight="1">
      <c r="A41" s="438" t="s">
        <v>610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2.95" customHeight="1">
      <c r="A42" s="424" t="s">
        <v>601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2.95" customHeight="1">
      <c r="A43" s="1547" t="s">
        <v>2475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2.95" customHeight="1">
      <c r="A44" s="424" t="s">
        <v>603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2.95" customHeight="1">
      <c r="A45" s="438" t="s">
        <v>604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2.95" customHeight="1">
      <c r="A46" s="424" t="s">
        <v>598</v>
      </c>
      <c r="B46" s="488">
        <v>656752.89999999991</v>
      </c>
      <c r="C46" s="508">
        <v>0</v>
      </c>
      <c r="D46" s="508">
        <v>3626.6792753902901</v>
      </c>
      <c r="E46" s="508">
        <v>28062.298521447279</v>
      </c>
      <c r="F46" s="508">
        <f t="shared" si="8"/>
        <v>31688.977796837571</v>
      </c>
      <c r="G46" s="508">
        <v>26374.032877540601</v>
      </c>
      <c r="H46" s="508">
        <v>1160747.9023133027</v>
      </c>
      <c r="I46" s="508">
        <f t="shared" si="9"/>
        <v>1187121.9351908434</v>
      </c>
      <c r="J46" s="251">
        <v>267711.18701231893</v>
      </c>
      <c r="K46" s="251">
        <f t="shared" si="10"/>
        <v>2143275</v>
      </c>
      <c r="L46" s="580"/>
      <c r="M46" s="580"/>
      <c r="N46" s="580"/>
      <c r="O46" s="580"/>
    </row>
    <row r="47" spans="1:15" ht="12.95" customHeight="1">
      <c r="A47" s="438" t="s">
        <v>605</v>
      </c>
      <c r="B47" s="507">
        <v>668692.80000000005</v>
      </c>
      <c r="C47" s="503">
        <v>0</v>
      </c>
      <c r="D47" s="503">
        <v>3612.6439494309802</v>
      </c>
      <c r="E47" s="503">
        <v>29272.261998138703</v>
      </c>
      <c r="F47" s="503">
        <f t="shared" si="8"/>
        <v>32884.905947569685</v>
      </c>
      <c r="G47" s="503">
        <v>27033.624915766901</v>
      </c>
      <c r="H47" s="503">
        <v>1168834.2039479583</v>
      </c>
      <c r="I47" s="503">
        <f t="shared" si="9"/>
        <v>1195867.8288637253</v>
      </c>
      <c r="J47" s="316">
        <v>270031.66518870508</v>
      </c>
      <c r="K47" s="316">
        <f t="shared" si="10"/>
        <v>2167477.2000000002</v>
      </c>
      <c r="L47" s="580"/>
      <c r="M47" s="580"/>
      <c r="N47" s="580"/>
      <c r="O47" s="580"/>
    </row>
    <row r="48" spans="1:15" ht="12.95" customHeight="1" thickBot="1">
      <c r="A48" s="1427" t="s">
        <v>606</v>
      </c>
      <c r="B48" s="1681">
        <v>661583</v>
      </c>
      <c r="C48" s="1649">
        <v>0</v>
      </c>
      <c r="D48" s="1649">
        <v>3587.4784871398201</v>
      </c>
      <c r="E48" s="1649">
        <v>30114.560406851284</v>
      </c>
      <c r="F48" s="1649">
        <f t="shared" si="8"/>
        <v>33702.038893991106</v>
      </c>
      <c r="G48" s="1649">
        <v>27708.6911802797</v>
      </c>
      <c r="H48" s="1649">
        <v>1179777.4370906665</v>
      </c>
      <c r="I48" s="1649">
        <f t="shared" si="9"/>
        <v>1207486.1282709462</v>
      </c>
      <c r="J48" s="1683">
        <v>273352.73283506237</v>
      </c>
      <c r="K48" s="1683">
        <f t="shared" si="10"/>
        <v>2176123.9</v>
      </c>
      <c r="L48" s="580"/>
      <c r="M48" s="580"/>
      <c r="N48" s="580"/>
      <c r="O48" s="580"/>
    </row>
    <row r="49" spans="1:14" s="526" customFormat="1">
      <c r="A49" s="581" t="s">
        <v>225</v>
      </c>
      <c r="B49" s="287" t="s">
        <v>1545</v>
      </c>
      <c r="C49" s="287"/>
      <c r="D49" s="287"/>
      <c r="E49" s="287"/>
      <c r="F49" s="287"/>
      <c r="G49" s="582" t="s">
        <v>1365</v>
      </c>
      <c r="H49" s="583"/>
      <c r="I49" s="583"/>
      <c r="J49" s="583"/>
      <c r="K49" s="583"/>
      <c r="L49" s="580"/>
      <c r="M49" s="585"/>
      <c r="N49" s="580"/>
    </row>
    <row r="50" spans="1:14" s="659" customFormat="1">
      <c r="A50" s="243"/>
      <c r="B50" s="288" t="s">
        <v>1518</v>
      </c>
      <c r="C50" s="288"/>
      <c r="D50" s="288"/>
      <c r="E50" s="1141"/>
      <c r="F50" s="1141"/>
      <c r="G50" s="1141"/>
      <c r="H50" s="1141"/>
      <c r="I50" s="1141"/>
      <c r="J50" s="1141"/>
      <c r="K50" s="1141"/>
      <c r="L50" s="580"/>
      <c r="M50" s="788"/>
    </row>
    <row r="51" spans="1:14" s="526" customFormat="1">
      <c r="A51" s="580"/>
      <c r="B51" s="580"/>
      <c r="C51" s="580"/>
      <c r="D51" s="1141"/>
      <c r="E51" s="580"/>
      <c r="F51" s="1141"/>
      <c r="G51" s="1141"/>
      <c r="H51" s="1141"/>
      <c r="I51" s="1141"/>
      <c r="J51" s="1141"/>
      <c r="K51" s="1141"/>
      <c r="L51" s="580"/>
      <c r="M51" s="788"/>
    </row>
    <row r="52" spans="1:14" s="526" customFormat="1">
      <c r="A52" s="580"/>
      <c r="B52" s="580"/>
      <c r="C52" s="580"/>
      <c r="D52" s="1141"/>
      <c r="E52" s="580"/>
      <c r="F52" s="1141"/>
      <c r="G52" s="1141"/>
      <c r="H52" s="1141"/>
      <c r="I52" s="1141"/>
      <c r="J52" s="1141"/>
      <c r="K52" s="1141"/>
      <c r="L52" s="580"/>
      <c r="M52" s="788"/>
    </row>
    <row r="53" spans="1:14" s="526" customFormat="1">
      <c r="A53" s="580"/>
      <c r="B53" s="580"/>
      <c r="C53" s="580"/>
      <c r="D53" s="1141"/>
      <c r="E53" s="580"/>
      <c r="F53" s="1141"/>
      <c r="G53" s="1141"/>
      <c r="H53" s="1141"/>
      <c r="I53" s="1141"/>
      <c r="J53" s="1141"/>
      <c r="K53" s="1141"/>
      <c r="L53" s="580"/>
      <c r="M53" s="788"/>
    </row>
    <row r="54" spans="1:14" s="526" customFormat="1">
      <c r="A54" s="580"/>
      <c r="B54" s="580"/>
      <c r="C54" s="580"/>
      <c r="D54" s="1141"/>
      <c r="E54" s="580"/>
      <c r="F54" s="1141"/>
      <c r="G54" s="1141"/>
      <c r="H54" s="1141"/>
      <c r="I54" s="1141"/>
      <c r="J54" s="1141"/>
      <c r="K54" s="1141"/>
      <c r="L54" s="580"/>
      <c r="M54" s="788"/>
    </row>
    <row r="55" spans="1:14" s="526" customFormat="1">
      <c r="A55" s="580"/>
      <c r="B55" s="580"/>
      <c r="C55" s="580"/>
      <c r="D55" s="1141"/>
      <c r="E55" s="580"/>
      <c r="F55" s="1141"/>
      <c r="G55" s="585"/>
      <c r="H55" s="1141"/>
      <c r="I55" s="1141"/>
      <c r="J55" s="1141"/>
      <c r="K55" s="1141"/>
      <c r="L55" s="580"/>
      <c r="M55" s="788"/>
    </row>
    <row r="56" spans="1:14" s="526" customFormat="1">
      <c r="A56" s="580"/>
      <c r="B56" s="580"/>
      <c r="C56" s="580"/>
      <c r="D56" s="1141"/>
      <c r="E56" s="580"/>
      <c r="F56" s="1141"/>
      <c r="G56" s="585"/>
      <c r="H56" s="1141"/>
      <c r="I56" s="1141"/>
      <c r="J56" s="1141"/>
      <c r="K56" s="1141"/>
      <c r="L56" s="580"/>
    </row>
    <row r="57" spans="1:14" s="526" customFormat="1">
      <c r="A57" s="580"/>
      <c r="B57" s="580"/>
      <c r="C57" s="580"/>
      <c r="D57" s="1141"/>
      <c r="E57" s="580"/>
      <c r="F57" s="1141"/>
      <c r="G57" s="585"/>
      <c r="H57" s="1141"/>
      <c r="I57" s="1141"/>
      <c r="J57" s="585"/>
      <c r="K57" s="1141"/>
      <c r="L57" s="580"/>
    </row>
    <row r="58" spans="1:14" s="526" customFormat="1">
      <c r="A58" s="580"/>
      <c r="B58" s="580"/>
      <c r="C58" s="580"/>
      <c r="D58" s="1141"/>
      <c r="E58" s="580"/>
      <c r="F58" s="1141"/>
      <c r="G58" s="585"/>
      <c r="H58" s="1141"/>
      <c r="I58" s="1141"/>
      <c r="J58" s="585"/>
      <c r="K58" s="1141"/>
      <c r="L58" s="580"/>
    </row>
    <row r="59" spans="1:14">
      <c r="A59" s="580"/>
      <c r="B59" s="580"/>
      <c r="C59" s="580"/>
      <c r="D59" s="585"/>
      <c r="E59" s="580"/>
      <c r="F59" s="1141"/>
      <c r="G59" s="585"/>
      <c r="H59" s="1141"/>
      <c r="I59" s="1141"/>
      <c r="J59" s="585"/>
      <c r="K59" s="1141"/>
      <c r="L59" s="580"/>
    </row>
    <row r="60" spans="1:14">
      <c r="A60" s="580"/>
      <c r="B60" s="580"/>
      <c r="C60" s="580"/>
      <c r="D60" s="585"/>
      <c r="E60" s="580"/>
      <c r="F60" s="1141"/>
      <c r="G60" s="585"/>
      <c r="H60" s="1141"/>
      <c r="I60" s="1141"/>
      <c r="J60" s="585"/>
      <c r="K60" s="1141"/>
      <c r="L60" s="580"/>
    </row>
    <row r="61" spans="1:14">
      <c r="A61" s="580"/>
      <c r="B61" s="580"/>
      <c r="C61" s="580"/>
      <c r="D61" s="585"/>
      <c r="E61" s="580"/>
      <c r="F61" s="1141"/>
      <c r="G61" s="585"/>
      <c r="H61" s="585"/>
      <c r="I61" s="1141"/>
      <c r="J61" s="585"/>
      <c r="K61" s="1141"/>
      <c r="L61" s="580"/>
    </row>
    <row r="62" spans="1:14">
      <c r="A62" s="580"/>
      <c r="B62" s="580"/>
      <c r="C62" s="580"/>
      <c r="D62" s="585"/>
      <c r="E62" s="585"/>
      <c r="F62" s="580"/>
      <c r="G62" s="585"/>
      <c r="H62" s="585"/>
      <c r="I62" s="580"/>
      <c r="J62" s="585"/>
      <c r="L62" s="585"/>
    </row>
    <row r="63" spans="1:14">
      <c r="B63" s="580"/>
      <c r="C63" s="580"/>
      <c r="D63" s="585"/>
      <c r="E63" s="585"/>
      <c r="F63" s="580"/>
      <c r="G63" s="585"/>
      <c r="H63" s="585"/>
      <c r="I63" s="580"/>
      <c r="J63" s="585"/>
      <c r="L63" s="585"/>
    </row>
    <row r="64" spans="1:14">
      <c r="B64" s="580"/>
      <c r="C64" s="580"/>
      <c r="D64" s="585"/>
      <c r="E64" s="585"/>
      <c r="G64" s="585"/>
      <c r="H64" s="585"/>
      <c r="J64" s="585"/>
      <c r="L64" s="585"/>
    </row>
    <row r="65" spans="2:12">
      <c r="B65" s="580"/>
      <c r="C65" s="580"/>
      <c r="D65" s="585"/>
      <c r="E65" s="585"/>
      <c r="G65" s="585"/>
      <c r="H65" s="585"/>
      <c r="J65" s="585"/>
      <c r="L65" s="585"/>
    </row>
    <row r="66" spans="2:12">
      <c r="B66" s="580"/>
      <c r="C66" s="585"/>
      <c r="D66" s="585"/>
      <c r="E66" s="585"/>
      <c r="G66" s="585"/>
      <c r="H66" s="585"/>
      <c r="J66" s="585"/>
      <c r="L66" s="585"/>
    </row>
    <row r="67" spans="2:12">
      <c r="B67" s="580"/>
      <c r="C67" s="585"/>
      <c r="D67" s="585"/>
      <c r="E67" s="585"/>
      <c r="G67" s="585"/>
      <c r="H67" s="585"/>
      <c r="J67" s="585"/>
      <c r="L67" s="585"/>
    </row>
    <row r="68" spans="2:12">
      <c r="B68" s="580"/>
      <c r="C68" s="585"/>
      <c r="D68" s="585"/>
      <c r="E68" s="585"/>
      <c r="G68" s="585"/>
      <c r="H68" s="585"/>
      <c r="J68" s="585"/>
      <c r="L68" s="585"/>
    </row>
    <row r="69" spans="2:12">
      <c r="B69" s="580"/>
      <c r="C69" s="585"/>
      <c r="D69" s="585"/>
      <c r="E69" s="585"/>
      <c r="G69" s="585"/>
      <c r="H69" s="585"/>
      <c r="J69" s="585"/>
      <c r="L69" s="585"/>
    </row>
    <row r="70" spans="2:12">
      <c r="B70" s="580"/>
      <c r="C70" s="585"/>
      <c r="D70" s="585"/>
      <c r="E70" s="585"/>
      <c r="G70" s="585"/>
      <c r="H70" s="585"/>
      <c r="J70" s="585"/>
    </row>
    <row r="71" spans="2:12">
      <c r="B71" s="580"/>
      <c r="C71" s="585"/>
      <c r="D71" s="585"/>
      <c r="E71" s="585"/>
      <c r="G71" s="585"/>
      <c r="H71" s="585"/>
    </row>
    <row r="72" spans="2:12">
      <c r="B72" s="580"/>
      <c r="C72" s="580"/>
      <c r="D72" s="580"/>
      <c r="E72" s="585"/>
      <c r="F72" s="580"/>
      <c r="G72" s="580"/>
      <c r="H72" s="580"/>
      <c r="I72" s="580"/>
      <c r="J72" s="580"/>
      <c r="K72" s="580"/>
    </row>
    <row r="73" spans="2:12">
      <c r="B73" s="580"/>
      <c r="C73" s="580"/>
      <c r="D73" s="580"/>
      <c r="E73" s="580"/>
      <c r="F73" s="580"/>
      <c r="G73" s="580"/>
      <c r="H73" s="580"/>
      <c r="I73" s="580"/>
      <c r="J73" s="580"/>
      <c r="K73" s="580"/>
    </row>
    <row r="74" spans="2:12">
      <c r="B74" s="580"/>
      <c r="C74" s="580"/>
      <c r="D74" s="580"/>
      <c r="E74" s="580"/>
      <c r="F74" s="580"/>
      <c r="G74" s="580"/>
      <c r="H74" s="580"/>
      <c r="I74" s="580"/>
      <c r="J74" s="580"/>
      <c r="K74" s="580"/>
    </row>
    <row r="75" spans="2:12">
      <c r="B75" s="580"/>
      <c r="C75" s="580"/>
      <c r="D75" s="580"/>
      <c r="E75" s="580"/>
      <c r="F75" s="580"/>
      <c r="G75" s="580"/>
      <c r="H75" s="580"/>
      <c r="I75" s="580"/>
      <c r="J75" s="580"/>
      <c r="K75" s="580"/>
    </row>
    <row r="76" spans="2:12">
      <c r="B76" s="580"/>
      <c r="C76" s="580"/>
      <c r="D76" s="580"/>
      <c r="E76" s="580"/>
      <c r="F76" s="580"/>
      <c r="G76" s="580"/>
      <c r="H76" s="580"/>
      <c r="I76" s="580"/>
      <c r="J76" s="580"/>
      <c r="K76" s="580"/>
    </row>
    <row r="77" spans="2:12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2:12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2:12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2:12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  <row r="81" spans="2:11"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  <row r="82" spans="2:11">
      <c r="B82" s="580"/>
      <c r="C82" s="580"/>
      <c r="D82" s="580"/>
      <c r="E82" s="580"/>
      <c r="F82" s="580"/>
      <c r="G82" s="580"/>
      <c r="H82" s="580"/>
      <c r="I82" s="580"/>
      <c r="J82" s="580"/>
      <c r="K82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45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W60"/>
  <sheetViews>
    <sheetView zoomScale="120" zoomScaleNormal="120" workbookViewId="0">
      <pane xSplit="2" ySplit="1" topLeftCell="BC29" activePane="bottomRight" state="frozen"/>
      <selection activeCell="F85" sqref="F85"/>
      <selection pane="topRight" activeCell="F85" sqref="F85"/>
      <selection pane="bottomLeft" activeCell="F85" sqref="F85"/>
      <selection pane="bottomRight" activeCell="AX44" sqref="AX44"/>
    </sheetView>
  </sheetViews>
  <sheetFormatPr defaultRowHeight="12.75"/>
  <cols>
    <col min="1" max="1" width="7.85546875" style="1405" customWidth="1"/>
    <col min="2" max="2" width="7.28515625" style="1405" customWidth="1"/>
    <col min="3" max="3" width="8" style="1405" customWidth="1"/>
    <col min="4" max="4" width="5.85546875" style="1405" customWidth="1"/>
    <col min="5" max="5" width="6" style="1405" customWidth="1"/>
    <col min="6" max="6" width="7.42578125" style="1405" customWidth="1"/>
    <col min="7" max="7" width="7.7109375" style="1405" customWidth="1"/>
    <col min="8" max="8" width="7.5703125" style="1405" customWidth="1"/>
    <col min="9" max="9" width="6.85546875" style="1405" customWidth="1"/>
    <col min="10" max="10" width="6.7109375" style="1405" customWidth="1"/>
    <col min="11" max="11" width="6" style="1405" customWidth="1"/>
    <col min="12" max="12" width="5.140625" style="1405" customWidth="1"/>
    <col min="13" max="13" width="4.28515625" style="1405" customWidth="1"/>
    <col min="14" max="14" width="7.5703125" style="1405" customWidth="1"/>
    <col min="15" max="15" width="6.140625" style="1405" customWidth="1"/>
    <col min="16" max="16" width="6.85546875" style="1405" customWidth="1"/>
    <col min="17" max="17" width="5.42578125" style="1405" customWidth="1"/>
    <col min="18" max="18" width="6.42578125" style="1405" customWidth="1"/>
    <col min="19" max="19" width="5.140625" style="1405" customWidth="1"/>
    <col min="20" max="20" width="6.42578125" style="1405" customWidth="1"/>
    <col min="21" max="21" width="4.5703125" style="1405" customWidth="1"/>
    <col min="22" max="22" width="7.28515625" style="1405" customWidth="1"/>
    <col min="23" max="23" width="6.28515625" style="1405" customWidth="1"/>
    <col min="24" max="24" width="5.7109375" style="1405" customWidth="1"/>
    <col min="25" max="25" width="7.5703125" style="1405" customWidth="1"/>
    <col min="26" max="26" width="8.42578125" style="1405" customWidth="1"/>
    <col min="27" max="27" width="6.85546875" style="1405" customWidth="1"/>
    <col min="28" max="28" width="5" style="1405" customWidth="1"/>
    <col min="29" max="29" width="5.140625" style="1405" customWidth="1"/>
    <col min="30" max="30" width="7.5703125" style="1405" customWidth="1"/>
    <col min="31" max="31" width="5.85546875" style="1405" customWidth="1"/>
    <col min="32" max="32" width="5.5703125" style="1405" customWidth="1"/>
    <col min="33" max="33" width="4.7109375" style="1405" customWidth="1"/>
    <col min="34" max="34" width="7.28515625" style="1405" customWidth="1"/>
    <col min="35" max="35" width="5.140625" style="1405" customWidth="1"/>
    <col min="36" max="36" width="5.85546875" style="1405" customWidth="1"/>
    <col min="37" max="37" width="4.140625" style="1405" customWidth="1"/>
    <col min="38" max="38" width="8.28515625" style="1405" customWidth="1"/>
    <col min="39" max="39" width="7.7109375" style="1405" customWidth="1"/>
    <col min="40" max="40" width="6.5703125" style="1405" customWidth="1"/>
    <col min="41" max="41" width="5.28515625" style="1405" customWidth="1"/>
    <col min="42" max="42" width="6.5703125" style="1405" customWidth="1"/>
    <col min="43" max="43" width="5.140625" style="1405" customWidth="1"/>
    <col min="44" max="45" width="6.7109375" style="1405" customWidth="1"/>
    <col min="46" max="46" width="6.85546875" style="1405" customWidth="1"/>
    <col min="47" max="47" width="6.7109375" style="1405" customWidth="1"/>
    <col min="48" max="48" width="6.42578125" style="1405" customWidth="1"/>
    <col min="49" max="49" width="5.28515625" style="1405" customWidth="1"/>
    <col min="50" max="50" width="7.140625" style="1405" customWidth="1"/>
    <col min="51" max="51" width="6.5703125" style="1405" customWidth="1"/>
    <col min="52" max="52" width="5.140625" style="1405" customWidth="1"/>
    <col min="53" max="53" width="8.140625" style="1405" customWidth="1"/>
    <col min="54" max="54" width="6.85546875" style="1405" customWidth="1"/>
    <col min="55" max="55" width="6.42578125" style="198" customWidth="1"/>
    <col min="56" max="56" width="6.85546875" style="1405" customWidth="1"/>
    <col min="57" max="57" width="6" style="1405" customWidth="1"/>
    <col min="58" max="58" width="7.28515625" style="1405" customWidth="1"/>
    <col min="59" max="59" width="6.42578125" style="1405" customWidth="1"/>
    <col min="60" max="60" width="7.28515625" style="1405" customWidth="1"/>
    <col min="61" max="61" width="6.85546875" style="1405" customWidth="1"/>
    <col min="62" max="62" width="8.140625" style="1405" customWidth="1"/>
    <col min="63" max="63" width="10.42578125" style="1405" customWidth="1"/>
    <col min="64" max="64" width="7.42578125" style="1405" customWidth="1"/>
    <col min="65" max="65" width="8.28515625" style="1405" customWidth="1"/>
    <col min="66" max="66" width="7" style="1405" customWidth="1"/>
    <col min="67" max="67" width="8.28515625" style="1405" customWidth="1"/>
    <col min="68" max="69" width="7.5703125" style="1405" customWidth="1"/>
    <col min="70" max="70" width="6.28515625" style="1405" customWidth="1"/>
    <col min="71" max="71" width="7.28515625" style="1405" customWidth="1"/>
    <col min="72" max="72" width="9.140625" style="1405"/>
    <col min="73" max="75" width="11.85546875" style="1405" bestFit="1" customWidth="1"/>
    <col min="76" max="16384" width="9.140625" style="1405"/>
  </cols>
  <sheetData>
    <row r="1" spans="1:75" ht="15.75" customHeight="1">
      <c r="A1" s="622"/>
      <c r="B1" s="622"/>
      <c r="C1" s="622"/>
      <c r="D1" s="622"/>
      <c r="E1" s="622"/>
      <c r="F1" s="1956" t="s">
        <v>2372</v>
      </c>
      <c r="G1" s="1956"/>
      <c r="H1" s="1956"/>
      <c r="I1" s="1956"/>
      <c r="J1" s="1956"/>
      <c r="K1" s="1956"/>
      <c r="L1" s="1956"/>
      <c r="M1" s="1956"/>
      <c r="N1" s="1956"/>
      <c r="O1" s="1956"/>
      <c r="P1" s="1956"/>
      <c r="Q1" s="1956"/>
      <c r="R1" s="623"/>
      <c r="S1" s="622"/>
      <c r="T1" s="622"/>
      <c r="U1" s="1957" t="s">
        <v>1734</v>
      </c>
      <c r="V1" s="1957"/>
      <c r="W1" s="1957"/>
      <c r="X1" s="1957"/>
      <c r="Y1" s="650"/>
      <c r="Z1" s="622"/>
      <c r="AA1" s="622"/>
      <c r="AB1" s="622"/>
      <c r="AC1" s="622"/>
      <c r="AD1" s="622"/>
      <c r="AE1" s="622"/>
      <c r="AF1" s="1956" t="s">
        <v>1771</v>
      </c>
      <c r="AG1" s="1956"/>
      <c r="AH1" s="1956"/>
      <c r="AI1" s="1956"/>
      <c r="AJ1" s="1956"/>
      <c r="AK1" s="1956"/>
      <c r="AL1" s="1956"/>
      <c r="AM1" s="1956"/>
      <c r="AN1" s="1956"/>
      <c r="AO1" s="1956"/>
      <c r="AP1" s="1956"/>
      <c r="AQ1" s="1956"/>
      <c r="AR1" s="622"/>
      <c r="AS1" s="1958" t="s">
        <v>2358</v>
      </c>
      <c r="AT1" s="1958"/>
      <c r="AU1" s="1958"/>
      <c r="AV1" s="1958"/>
      <c r="AW1" s="1958"/>
      <c r="AX1" s="1402"/>
      <c r="AY1" s="622"/>
      <c r="AZ1" s="622"/>
      <c r="BA1" s="622"/>
      <c r="BB1" s="622"/>
      <c r="BC1" s="623"/>
      <c r="BD1" s="623"/>
      <c r="BE1" s="1956" t="s">
        <v>2359</v>
      </c>
      <c r="BF1" s="1956"/>
      <c r="BG1" s="1956"/>
      <c r="BH1" s="1956"/>
      <c r="BI1" s="1956"/>
      <c r="BJ1" s="1956"/>
      <c r="BK1" s="1956"/>
      <c r="BL1" s="1956"/>
      <c r="BM1" s="1956"/>
      <c r="BN1" s="1956"/>
      <c r="BO1" s="623"/>
      <c r="BP1" s="1958" t="s">
        <v>2360</v>
      </c>
      <c r="BQ1" s="1958"/>
      <c r="BR1" s="1958"/>
      <c r="BS1" s="1958"/>
      <c r="BT1" s="1402"/>
      <c r="BU1" s="1402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403"/>
      <c r="J2" s="1403"/>
      <c r="K2" s="1403"/>
      <c r="L2" s="1403"/>
      <c r="M2" s="1403"/>
      <c r="N2" s="1403"/>
      <c r="O2" s="1403"/>
      <c r="P2" s="1403"/>
      <c r="Q2" s="1403"/>
      <c r="R2" s="1403"/>
      <c r="S2" s="622"/>
      <c r="T2" s="622"/>
      <c r="U2" s="2037" t="s">
        <v>1743</v>
      </c>
      <c r="V2" s="2037"/>
      <c r="W2" s="2037"/>
      <c r="X2" s="2037"/>
      <c r="Y2" s="650"/>
      <c r="Z2" s="622"/>
      <c r="AA2" s="622"/>
      <c r="AB2" s="622"/>
      <c r="AC2" s="622"/>
      <c r="AD2" s="622"/>
      <c r="AE2" s="622"/>
      <c r="AF2" s="622"/>
      <c r="AG2" s="1403"/>
      <c r="AH2" s="1403"/>
      <c r="AI2" s="1403"/>
      <c r="AJ2" s="1403"/>
      <c r="AK2" s="1403"/>
      <c r="AL2" s="1403"/>
      <c r="AM2" s="1403"/>
      <c r="AN2" s="1403"/>
      <c r="AO2" s="622"/>
      <c r="AP2" s="622"/>
      <c r="AQ2" s="622"/>
      <c r="AR2" s="622"/>
      <c r="AS2" s="2037" t="s">
        <v>2361</v>
      </c>
      <c r="AT2" s="2037"/>
      <c r="AU2" s="2037"/>
      <c r="AV2" s="2037"/>
      <c r="AW2" s="2037"/>
      <c r="AX2" s="210"/>
      <c r="AY2" s="622"/>
      <c r="AZ2" s="622"/>
      <c r="BA2" s="622"/>
      <c r="BB2" s="1403"/>
      <c r="BC2" s="1534"/>
      <c r="BD2" s="1403"/>
      <c r="BE2" s="1403"/>
      <c r="BF2" s="1403"/>
      <c r="BG2" s="1403"/>
      <c r="BH2" s="1403"/>
      <c r="BI2" s="622"/>
      <c r="BJ2" s="622"/>
      <c r="BK2" s="622"/>
      <c r="BL2" s="1403"/>
      <c r="BM2" s="1403"/>
      <c r="BN2" s="1403"/>
      <c r="BO2" s="1403"/>
      <c r="BP2" s="1403"/>
      <c r="BQ2" s="2038" t="s">
        <v>24</v>
      </c>
      <c r="BR2" s="2039"/>
      <c r="BS2" s="2039"/>
      <c r="BT2" s="210"/>
      <c r="BU2" s="210"/>
    </row>
    <row r="3" spans="1:75" ht="12.75" customHeight="1">
      <c r="A3" s="2013" t="s">
        <v>524</v>
      </c>
      <c r="B3" s="1967" t="s">
        <v>1215</v>
      </c>
      <c r="C3" s="1968"/>
      <c r="D3" s="1968"/>
      <c r="E3" s="1968"/>
      <c r="F3" s="1968"/>
      <c r="G3" s="1969"/>
      <c r="H3" s="2016" t="s">
        <v>2594</v>
      </c>
      <c r="I3" s="2017"/>
      <c r="J3" s="2022" t="s">
        <v>2362</v>
      </c>
      <c r="K3" s="2023"/>
      <c r="L3" s="2023"/>
      <c r="M3" s="2023"/>
      <c r="N3" s="2023"/>
      <c r="O3" s="2023"/>
      <c r="P3" s="2023"/>
      <c r="Q3" s="2023"/>
      <c r="R3" s="2023"/>
      <c r="S3" s="2023"/>
      <c r="T3" s="2023"/>
      <c r="U3" s="2023"/>
      <c r="V3" s="2023"/>
      <c r="W3" s="2023"/>
      <c r="X3" s="2024"/>
      <c r="Y3" s="2025" t="s">
        <v>2363</v>
      </c>
      <c r="Z3" s="1404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 t="s">
        <v>2364</v>
      </c>
      <c r="AK3" s="1406"/>
      <c r="AL3" s="1406" t="s">
        <v>2365</v>
      </c>
      <c r="AM3" s="1406"/>
      <c r="AN3" s="1406"/>
      <c r="AO3" s="1406"/>
      <c r="AP3" s="1406"/>
      <c r="AQ3" s="1406"/>
      <c r="AR3" s="1406"/>
      <c r="AS3" s="1406"/>
      <c r="AT3" s="1406"/>
      <c r="AU3" s="1988"/>
      <c r="AV3" s="1988"/>
      <c r="AW3" s="1989"/>
      <c r="AX3" s="1973" t="s">
        <v>524</v>
      </c>
      <c r="AY3" s="1976" t="s">
        <v>2366</v>
      </c>
      <c r="AZ3" s="1976"/>
      <c r="BA3" s="1976"/>
      <c r="BB3" s="1976"/>
      <c r="BC3" s="1967" t="s">
        <v>1294</v>
      </c>
      <c r="BD3" s="1968"/>
      <c r="BE3" s="1968"/>
      <c r="BF3" s="1969"/>
      <c r="BG3" s="1967" t="s">
        <v>1247</v>
      </c>
      <c r="BH3" s="1977"/>
      <c r="BI3" s="1978"/>
      <c r="BJ3" s="1967" t="s">
        <v>2551</v>
      </c>
      <c r="BK3" s="1968"/>
      <c r="BL3" s="1968"/>
      <c r="BM3" s="1969"/>
      <c r="BN3" s="1967" t="s">
        <v>1216</v>
      </c>
      <c r="BO3" s="1968"/>
      <c r="BP3" s="1968"/>
      <c r="BQ3" s="1969"/>
      <c r="BR3" s="1984" t="s">
        <v>2367</v>
      </c>
      <c r="BS3" s="1984" t="s">
        <v>2368</v>
      </c>
    </row>
    <row r="4" spans="1:75" ht="9.75" customHeight="1">
      <c r="A4" s="2014"/>
      <c r="B4" s="1970"/>
      <c r="C4" s="1971"/>
      <c r="D4" s="1971"/>
      <c r="E4" s="1971"/>
      <c r="F4" s="1971"/>
      <c r="G4" s="1972"/>
      <c r="H4" s="2018"/>
      <c r="I4" s="2019"/>
      <c r="J4" s="1987" t="s">
        <v>1217</v>
      </c>
      <c r="K4" s="1988"/>
      <c r="L4" s="1988"/>
      <c r="M4" s="1988"/>
      <c r="N4" s="1988"/>
      <c r="O4" s="1988"/>
      <c r="P4" s="1988"/>
      <c r="Q4" s="1988"/>
      <c r="R4" s="1988"/>
      <c r="S4" s="1988"/>
      <c r="T4" s="1988"/>
      <c r="U4" s="1988"/>
      <c r="V4" s="1988"/>
      <c r="W4" s="1988"/>
      <c r="X4" s="1989"/>
      <c r="Y4" s="2026"/>
      <c r="Z4" s="1987" t="s">
        <v>1218</v>
      </c>
      <c r="AA4" s="1988"/>
      <c r="AB4" s="1988"/>
      <c r="AC4" s="1988"/>
      <c r="AD4" s="1988"/>
      <c r="AE4" s="1988"/>
      <c r="AF4" s="1988"/>
      <c r="AG4" s="1988"/>
      <c r="AH4" s="1988"/>
      <c r="AI4" s="1988"/>
      <c r="AJ4" s="1988"/>
      <c r="AK4" s="1988"/>
      <c r="AL4" s="1988"/>
      <c r="AM4" s="1989"/>
      <c r="AN4" s="1990" t="s">
        <v>1219</v>
      </c>
      <c r="AO4" s="1991"/>
      <c r="AP4" s="1991"/>
      <c r="AQ4" s="1992"/>
      <c r="AR4" s="1996" t="s">
        <v>1220</v>
      </c>
      <c r="AS4" s="1997"/>
      <c r="AT4" s="1997"/>
      <c r="AU4" s="1997"/>
      <c r="AV4" s="1997"/>
      <c r="AW4" s="1998"/>
      <c r="AX4" s="1974"/>
      <c r="AY4" s="2002" t="s">
        <v>1220</v>
      </c>
      <c r="AZ4" s="2003"/>
      <c r="BA4" s="1967" t="s">
        <v>520</v>
      </c>
      <c r="BB4" s="1969"/>
      <c r="BC4" s="1970"/>
      <c r="BD4" s="1971"/>
      <c r="BE4" s="1971"/>
      <c r="BF4" s="1972"/>
      <c r="BG4" s="1979"/>
      <c r="BH4" s="1980"/>
      <c r="BI4" s="1981"/>
      <c r="BJ4" s="1970"/>
      <c r="BK4" s="1971"/>
      <c r="BL4" s="1971"/>
      <c r="BM4" s="1972"/>
      <c r="BN4" s="1970"/>
      <c r="BO4" s="1971"/>
      <c r="BP4" s="1971"/>
      <c r="BQ4" s="1972"/>
      <c r="BR4" s="1985"/>
      <c r="BS4" s="1985"/>
    </row>
    <row r="5" spans="1:75" ht="15" customHeight="1">
      <c r="A5" s="2014"/>
      <c r="B5" s="2016" t="s">
        <v>2595</v>
      </c>
      <c r="C5" s="2017"/>
      <c r="D5" s="2016" t="s">
        <v>1221</v>
      </c>
      <c r="E5" s="2017"/>
      <c r="F5" s="2016" t="s">
        <v>2596</v>
      </c>
      <c r="G5" s="2017"/>
      <c r="H5" s="2018"/>
      <c r="I5" s="2019"/>
      <c r="J5" s="2040" t="s">
        <v>2369</v>
      </c>
      <c r="K5" s="2023"/>
      <c r="L5" s="2023"/>
      <c r="M5" s="2024"/>
      <c r="N5" s="2028" t="s">
        <v>1222</v>
      </c>
      <c r="O5" s="2029"/>
      <c r="P5" s="2029"/>
      <c r="Q5" s="2030"/>
      <c r="R5" s="2028" t="s">
        <v>1223</v>
      </c>
      <c r="S5" s="2029"/>
      <c r="T5" s="2029"/>
      <c r="U5" s="2030"/>
      <c r="V5" s="2031" t="s">
        <v>520</v>
      </c>
      <c r="W5" s="2032"/>
      <c r="X5" s="2035" t="s">
        <v>1224</v>
      </c>
      <c r="Y5" s="2026"/>
      <c r="Z5" s="2028" t="s">
        <v>1709</v>
      </c>
      <c r="AA5" s="2029"/>
      <c r="AB5" s="2029"/>
      <c r="AC5" s="2030"/>
      <c r="AD5" s="2028" t="s">
        <v>1222</v>
      </c>
      <c r="AE5" s="2029"/>
      <c r="AF5" s="2029"/>
      <c r="AG5" s="2030"/>
      <c r="AH5" s="2028" t="s">
        <v>1225</v>
      </c>
      <c r="AI5" s="2029"/>
      <c r="AJ5" s="2029"/>
      <c r="AK5" s="2030"/>
      <c r="AL5" s="2031" t="s">
        <v>520</v>
      </c>
      <c r="AM5" s="2032"/>
      <c r="AN5" s="1993"/>
      <c r="AO5" s="1994"/>
      <c r="AP5" s="1994"/>
      <c r="AQ5" s="1995"/>
      <c r="AR5" s="1999"/>
      <c r="AS5" s="2000"/>
      <c r="AT5" s="2000"/>
      <c r="AU5" s="2000"/>
      <c r="AV5" s="2000"/>
      <c r="AW5" s="2001"/>
      <c r="AX5" s="1974"/>
      <c r="AY5" s="2004"/>
      <c r="AZ5" s="2005"/>
      <c r="BA5" s="2011"/>
      <c r="BB5" s="2012"/>
      <c r="BC5" s="1984" t="s">
        <v>1217</v>
      </c>
      <c r="BD5" s="1984" t="s">
        <v>1218</v>
      </c>
      <c r="BE5" s="1984" t="s">
        <v>1226</v>
      </c>
      <c r="BF5" s="1984" t="s">
        <v>520</v>
      </c>
      <c r="BG5" s="1963" t="s">
        <v>1227</v>
      </c>
      <c r="BH5" s="2016" t="s">
        <v>1228</v>
      </c>
      <c r="BI5" s="2017"/>
      <c r="BJ5" s="1984" t="s">
        <v>1229</v>
      </c>
      <c r="BK5" s="1959" t="s">
        <v>1230</v>
      </c>
      <c r="BL5" s="1960"/>
      <c r="BM5" s="2043" t="s">
        <v>1231</v>
      </c>
      <c r="BN5" s="2041" t="s">
        <v>1232</v>
      </c>
      <c r="BO5" s="1959" t="s">
        <v>1233</v>
      </c>
      <c r="BP5" s="1960"/>
      <c r="BQ5" s="2008" t="s">
        <v>1234</v>
      </c>
      <c r="BR5" s="1985"/>
      <c r="BS5" s="1985"/>
    </row>
    <row r="6" spans="1:75" ht="39.75" customHeight="1">
      <c r="A6" s="2014"/>
      <c r="B6" s="2020"/>
      <c r="C6" s="2021"/>
      <c r="D6" s="2020"/>
      <c r="E6" s="2021"/>
      <c r="F6" s="2020"/>
      <c r="G6" s="2021"/>
      <c r="H6" s="2020"/>
      <c r="I6" s="2021"/>
      <c r="J6" s="1965" t="s">
        <v>2370</v>
      </c>
      <c r="K6" s="1966"/>
      <c r="L6" s="1965" t="s">
        <v>1236</v>
      </c>
      <c r="M6" s="1966"/>
      <c r="N6" s="1965" t="s">
        <v>1235</v>
      </c>
      <c r="O6" s="1966"/>
      <c r="P6" s="1965" t="s">
        <v>1236</v>
      </c>
      <c r="Q6" s="1966"/>
      <c r="R6" s="1965" t="s">
        <v>1235</v>
      </c>
      <c r="S6" s="1966"/>
      <c r="T6" s="1965" t="s">
        <v>1236</v>
      </c>
      <c r="U6" s="1966"/>
      <c r="V6" s="2033"/>
      <c r="W6" s="2034"/>
      <c r="X6" s="2036"/>
      <c r="Y6" s="2026"/>
      <c r="Z6" s="1965" t="s">
        <v>1235</v>
      </c>
      <c r="AA6" s="1966"/>
      <c r="AB6" s="1965" t="s">
        <v>1236</v>
      </c>
      <c r="AC6" s="1966"/>
      <c r="AD6" s="1965" t="s">
        <v>1235</v>
      </c>
      <c r="AE6" s="1966"/>
      <c r="AF6" s="1965" t="s">
        <v>1236</v>
      </c>
      <c r="AG6" s="1966"/>
      <c r="AH6" s="1965" t="s">
        <v>1235</v>
      </c>
      <c r="AI6" s="1966"/>
      <c r="AJ6" s="1965" t="s">
        <v>1236</v>
      </c>
      <c r="AK6" s="1966"/>
      <c r="AL6" s="2033"/>
      <c r="AM6" s="2034"/>
      <c r="AN6" s="1965" t="s">
        <v>1235</v>
      </c>
      <c r="AO6" s="1966"/>
      <c r="AP6" s="1965" t="s">
        <v>1236</v>
      </c>
      <c r="AQ6" s="1966"/>
      <c r="AR6" s="2006" t="s">
        <v>1710</v>
      </c>
      <c r="AS6" s="2007"/>
      <c r="AT6" s="2006" t="s">
        <v>1237</v>
      </c>
      <c r="AU6" s="2007"/>
      <c r="AV6" s="2006" t="s">
        <v>1238</v>
      </c>
      <c r="AW6" s="2007"/>
      <c r="AX6" s="1974"/>
      <c r="AY6" s="2006" t="s">
        <v>520</v>
      </c>
      <c r="AZ6" s="2007"/>
      <c r="BA6" s="1970"/>
      <c r="BB6" s="1972"/>
      <c r="BC6" s="1986"/>
      <c r="BD6" s="1986"/>
      <c r="BE6" s="1986"/>
      <c r="BF6" s="2010"/>
      <c r="BG6" s="1964"/>
      <c r="BH6" s="2020"/>
      <c r="BI6" s="2021"/>
      <c r="BJ6" s="1986"/>
      <c r="BK6" s="1961"/>
      <c r="BL6" s="1962"/>
      <c r="BM6" s="2044"/>
      <c r="BN6" s="2042"/>
      <c r="BO6" s="1961"/>
      <c r="BP6" s="1962"/>
      <c r="BQ6" s="2009"/>
      <c r="BR6" s="1986"/>
      <c r="BS6" s="1986"/>
    </row>
    <row r="7" spans="1:75" ht="25.5" customHeight="1">
      <c r="A7" s="2014"/>
      <c r="B7" s="625" t="s">
        <v>2371</v>
      </c>
      <c r="C7" s="625" t="s">
        <v>1735</v>
      </c>
      <c r="D7" s="625" t="s">
        <v>1239</v>
      </c>
      <c r="E7" s="625" t="s">
        <v>1735</v>
      </c>
      <c r="F7" s="1348" t="s">
        <v>1239</v>
      </c>
      <c r="G7" s="1348" t="s">
        <v>1735</v>
      </c>
      <c r="H7" s="625" t="s">
        <v>1239</v>
      </c>
      <c r="I7" s="625" t="s">
        <v>1735</v>
      </c>
      <c r="J7" s="625" t="s">
        <v>1239</v>
      </c>
      <c r="K7" s="625" t="s">
        <v>1735</v>
      </c>
      <c r="L7" s="625" t="s">
        <v>1239</v>
      </c>
      <c r="M7" s="1361" t="s">
        <v>1735</v>
      </c>
      <c r="N7" s="625" t="s">
        <v>1239</v>
      </c>
      <c r="O7" s="626" t="s">
        <v>1735</v>
      </c>
      <c r="P7" s="625" t="s">
        <v>1239</v>
      </c>
      <c r="Q7" s="626" t="s">
        <v>1735</v>
      </c>
      <c r="R7" s="625" t="s">
        <v>1239</v>
      </c>
      <c r="S7" s="626" t="s">
        <v>1735</v>
      </c>
      <c r="T7" s="625" t="s">
        <v>1239</v>
      </c>
      <c r="U7" s="626" t="s">
        <v>1735</v>
      </c>
      <c r="V7" s="625" t="s">
        <v>1239</v>
      </c>
      <c r="W7" s="626" t="s">
        <v>1735</v>
      </c>
      <c r="X7" s="625" t="s">
        <v>1735</v>
      </c>
      <c r="Y7" s="2026"/>
      <c r="Z7" s="625" t="s">
        <v>1239</v>
      </c>
      <c r="AA7" s="625" t="s">
        <v>1735</v>
      </c>
      <c r="AB7" s="625" t="s">
        <v>1239</v>
      </c>
      <c r="AC7" s="625" t="s">
        <v>1735</v>
      </c>
      <c r="AD7" s="625" t="s">
        <v>1239</v>
      </c>
      <c r="AE7" s="625" t="s">
        <v>1736</v>
      </c>
      <c r="AF7" s="625" t="s">
        <v>1239</v>
      </c>
      <c r="AG7" s="625" t="s">
        <v>1735</v>
      </c>
      <c r="AH7" s="625" t="s">
        <v>1239</v>
      </c>
      <c r="AI7" s="625" t="s">
        <v>1735</v>
      </c>
      <c r="AJ7" s="625" t="s">
        <v>1239</v>
      </c>
      <c r="AK7" s="625" t="s">
        <v>1735</v>
      </c>
      <c r="AL7" s="625" t="s">
        <v>1239</v>
      </c>
      <c r="AM7" s="625" t="s">
        <v>1735</v>
      </c>
      <c r="AN7" s="625" t="s">
        <v>1239</v>
      </c>
      <c r="AO7" s="625" t="s">
        <v>1735</v>
      </c>
      <c r="AP7" s="625" t="s">
        <v>1239</v>
      </c>
      <c r="AQ7" s="625" t="s">
        <v>1735</v>
      </c>
      <c r="AR7" s="625" t="s">
        <v>1239</v>
      </c>
      <c r="AS7" s="625" t="s">
        <v>1735</v>
      </c>
      <c r="AT7" s="625" t="s">
        <v>1239</v>
      </c>
      <c r="AU7" s="625" t="s">
        <v>1735</v>
      </c>
      <c r="AV7" s="625" t="s">
        <v>1239</v>
      </c>
      <c r="AW7" s="625" t="s">
        <v>1735</v>
      </c>
      <c r="AX7" s="1974"/>
      <c r="AY7" s="625" t="s">
        <v>1239</v>
      </c>
      <c r="AZ7" s="625" t="s">
        <v>1735</v>
      </c>
      <c r="BA7" s="625" t="s">
        <v>1239</v>
      </c>
      <c r="BB7" s="625" t="s">
        <v>1735</v>
      </c>
      <c r="BC7" s="625" t="s">
        <v>1293</v>
      </c>
      <c r="BD7" s="625" t="s">
        <v>1293</v>
      </c>
      <c r="BE7" s="625" t="s">
        <v>1240</v>
      </c>
      <c r="BF7" s="625" t="s">
        <v>1240</v>
      </c>
      <c r="BG7" s="625" t="s">
        <v>1240</v>
      </c>
      <c r="BH7" s="625" t="s">
        <v>1239</v>
      </c>
      <c r="BI7" s="625" t="s">
        <v>1735</v>
      </c>
      <c r="BJ7" s="625" t="s">
        <v>1240</v>
      </c>
      <c r="BK7" s="625" t="s">
        <v>1239</v>
      </c>
      <c r="BL7" s="625" t="s">
        <v>1735</v>
      </c>
      <c r="BM7" s="625" t="s">
        <v>1240</v>
      </c>
      <c r="BN7" s="625" t="s">
        <v>1240</v>
      </c>
      <c r="BO7" s="625" t="s">
        <v>1239</v>
      </c>
      <c r="BP7" s="625" t="s">
        <v>1735</v>
      </c>
      <c r="BQ7" s="625" t="s">
        <v>1240</v>
      </c>
      <c r="BR7" s="625" t="s">
        <v>1240</v>
      </c>
      <c r="BS7" s="625" t="s">
        <v>1240</v>
      </c>
    </row>
    <row r="8" spans="1:75" ht="12" customHeight="1">
      <c r="A8" s="2015"/>
      <c r="B8" s="1982">
        <v>1</v>
      </c>
      <c r="C8" s="1983"/>
      <c r="D8" s="1982">
        <v>2</v>
      </c>
      <c r="E8" s="2045"/>
      <c r="F8" s="1982" t="s">
        <v>1241</v>
      </c>
      <c r="G8" s="1983"/>
      <c r="H8" s="1982">
        <v>4</v>
      </c>
      <c r="I8" s="1983"/>
      <c r="J8" s="1982">
        <v>5</v>
      </c>
      <c r="K8" s="1983"/>
      <c r="L8" s="1982">
        <v>6</v>
      </c>
      <c r="M8" s="1983"/>
      <c r="N8" s="1982">
        <v>7</v>
      </c>
      <c r="O8" s="1983"/>
      <c r="P8" s="1982">
        <v>8</v>
      </c>
      <c r="Q8" s="1983"/>
      <c r="R8" s="1982">
        <v>9</v>
      </c>
      <c r="S8" s="1983"/>
      <c r="T8" s="1982">
        <v>10</v>
      </c>
      <c r="U8" s="1983"/>
      <c r="V8" s="1982" t="s">
        <v>1242</v>
      </c>
      <c r="W8" s="1983"/>
      <c r="X8" s="1050">
        <v>12</v>
      </c>
      <c r="Y8" s="2027"/>
      <c r="Z8" s="1982">
        <v>13</v>
      </c>
      <c r="AA8" s="1983"/>
      <c r="AB8" s="1982">
        <v>14</v>
      </c>
      <c r="AC8" s="1983"/>
      <c r="AD8" s="1982">
        <v>15</v>
      </c>
      <c r="AE8" s="2024"/>
      <c r="AF8" s="1982">
        <v>16</v>
      </c>
      <c r="AG8" s="1983"/>
      <c r="AH8" s="1982">
        <v>17</v>
      </c>
      <c r="AI8" s="2024"/>
      <c r="AJ8" s="1982">
        <v>18</v>
      </c>
      <c r="AK8" s="1983"/>
      <c r="AL8" s="1982" t="s">
        <v>1243</v>
      </c>
      <c r="AM8" s="1983"/>
      <c r="AN8" s="1982">
        <v>20</v>
      </c>
      <c r="AO8" s="1983"/>
      <c r="AP8" s="1982">
        <v>21</v>
      </c>
      <c r="AQ8" s="1983"/>
      <c r="AR8" s="1982">
        <v>22</v>
      </c>
      <c r="AS8" s="1983"/>
      <c r="AT8" s="1982">
        <v>23</v>
      </c>
      <c r="AU8" s="1983"/>
      <c r="AV8" s="1982">
        <v>24</v>
      </c>
      <c r="AW8" s="1983"/>
      <c r="AX8" s="1975"/>
      <c r="AY8" s="2046" t="s">
        <v>1244</v>
      </c>
      <c r="AZ8" s="2024"/>
      <c r="BA8" s="2047" t="s">
        <v>1245</v>
      </c>
      <c r="BB8" s="2024"/>
      <c r="BC8" s="1050">
        <v>27</v>
      </c>
      <c r="BD8" s="1050">
        <v>28</v>
      </c>
      <c r="BE8" s="1050">
        <v>29</v>
      </c>
      <c r="BF8" s="1351" t="s">
        <v>1292</v>
      </c>
      <c r="BG8" s="1050">
        <v>31</v>
      </c>
      <c r="BH8" s="1050">
        <v>32</v>
      </c>
      <c r="BI8" s="1050">
        <v>33</v>
      </c>
      <c r="BJ8" s="1050">
        <v>34</v>
      </c>
      <c r="BK8" s="1982">
        <v>35</v>
      </c>
      <c r="BL8" s="1983"/>
      <c r="BM8" s="1050">
        <v>36</v>
      </c>
      <c r="BN8" s="1050">
        <v>37</v>
      </c>
      <c r="BO8" s="1982">
        <v>38</v>
      </c>
      <c r="BP8" s="1983"/>
      <c r="BQ8" s="1050">
        <v>39</v>
      </c>
      <c r="BR8" s="1050">
        <v>40</v>
      </c>
      <c r="BS8" s="1050">
        <v>41</v>
      </c>
    </row>
    <row r="9" spans="1:75" s="198" customFormat="1" ht="12.2" customHeight="1">
      <c r="A9" s="627" t="s">
        <v>1163</v>
      </c>
      <c r="B9" s="627">
        <v>23978480</v>
      </c>
      <c r="C9" s="913">
        <v>1464009.7289322768</v>
      </c>
      <c r="D9" s="627">
        <v>44278</v>
      </c>
      <c r="E9" s="913">
        <v>1018.6778832269999</v>
      </c>
      <c r="F9" s="627">
        <v>24022758</v>
      </c>
      <c r="G9" s="913">
        <v>1465028.3768155039</v>
      </c>
      <c r="H9" s="627">
        <v>10239509</v>
      </c>
      <c r="I9" s="913">
        <v>71466.937429648984</v>
      </c>
      <c r="J9" s="627">
        <v>998449</v>
      </c>
      <c r="K9" s="913">
        <v>646.08967006300009</v>
      </c>
      <c r="L9" s="627">
        <v>28021</v>
      </c>
      <c r="M9" s="913">
        <v>58.784323374000003</v>
      </c>
      <c r="N9" s="627">
        <v>6761512</v>
      </c>
      <c r="O9" s="913">
        <v>4060.5280064609997</v>
      </c>
      <c r="P9" s="627">
        <v>696549</v>
      </c>
      <c r="Q9" s="913">
        <v>925.00183520100018</v>
      </c>
      <c r="R9" s="627">
        <v>253116</v>
      </c>
      <c r="S9" s="913">
        <v>33.120208383000005</v>
      </c>
      <c r="T9" s="627">
        <v>100313</v>
      </c>
      <c r="U9" s="913">
        <v>148.52871070899999</v>
      </c>
      <c r="V9" s="627">
        <v>8837960</v>
      </c>
      <c r="W9" s="913">
        <v>5872.1027541909998</v>
      </c>
      <c r="X9" s="913">
        <v>2848.2799999999997</v>
      </c>
      <c r="Y9" s="627" t="s">
        <v>1163</v>
      </c>
      <c r="Z9" s="627">
        <v>109437869</v>
      </c>
      <c r="AA9" s="913">
        <v>82463.211347299992</v>
      </c>
      <c r="AB9" s="627">
        <v>32304</v>
      </c>
      <c r="AC9" s="913">
        <v>72.503609452000006</v>
      </c>
      <c r="AD9" s="627">
        <v>4471176</v>
      </c>
      <c r="AE9" s="913">
        <v>5484.155814492</v>
      </c>
      <c r="AF9" s="627">
        <v>68426</v>
      </c>
      <c r="AG9" s="913">
        <v>67.242002869999993</v>
      </c>
      <c r="AH9" s="627">
        <v>689996</v>
      </c>
      <c r="AI9" s="913">
        <v>77.175405626</v>
      </c>
      <c r="AJ9" s="627">
        <v>15022</v>
      </c>
      <c r="AK9" s="913">
        <v>17.501102213199999</v>
      </c>
      <c r="AL9" s="627">
        <v>114714793</v>
      </c>
      <c r="AM9" s="913">
        <v>88181.789374014203</v>
      </c>
      <c r="AN9" s="627">
        <v>413236</v>
      </c>
      <c r="AO9" s="913">
        <v>246.07698346200002</v>
      </c>
      <c r="AP9" s="627">
        <v>87958</v>
      </c>
      <c r="AQ9" s="913">
        <v>178.202189041</v>
      </c>
      <c r="AR9" s="627">
        <v>1230385</v>
      </c>
      <c r="AS9" s="913">
        <v>1225.122370545</v>
      </c>
      <c r="AT9" s="627">
        <v>3413293</v>
      </c>
      <c r="AU9" s="913">
        <v>2328.170729938</v>
      </c>
      <c r="AV9" s="627">
        <v>19647</v>
      </c>
      <c r="AW9" s="913">
        <v>49.56867063</v>
      </c>
      <c r="AX9" s="627" t="s">
        <v>1163</v>
      </c>
      <c r="AY9" s="627">
        <v>4663325</v>
      </c>
      <c r="AZ9" s="913">
        <v>3602.8217711130005</v>
      </c>
      <c r="BA9" s="627">
        <v>128717272</v>
      </c>
      <c r="BB9" s="913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3">
        <v>18357.901878275999</v>
      </c>
      <c r="BJ9" s="627">
        <v>547407</v>
      </c>
      <c r="BK9" s="627">
        <v>939607060</v>
      </c>
      <c r="BL9" s="913">
        <v>142292.75133781202</v>
      </c>
      <c r="BM9" s="627">
        <v>28625074</v>
      </c>
      <c r="BN9" s="627">
        <v>100</v>
      </c>
      <c r="BO9" s="627">
        <v>243530</v>
      </c>
      <c r="BP9" s="913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2.2" customHeight="1">
      <c r="A10" s="916" t="s">
        <v>1295</v>
      </c>
      <c r="B10" s="916">
        <v>22289753</v>
      </c>
      <c r="C10" s="915">
        <v>1669465.3599999999</v>
      </c>
      <c r="D10" s="916">
        <v>37182</v>
      </c>
      <c r="E10" s="915">
        <v>1056.9699999999998</v>
      </c>
      <c r="F10" s="916">
        <v>22326935</v>
      </c>
      <c r="G10" s="915">
        <v>1670522.24</v>
      </c>
      <c r="H10" s="916">
        <v>13548271</v>
      </c>
      <c r="I10" s="915">
        <v>90953.55</v>
      </c>
      <c r="J10" s="916">
        <v>1068730</v>
      </c>
      <c r="K10" s="915">
        <v>704.32</v>
      </c>
      <c r="L10" s="916">
        <v>31335</v>
      </c>
      <c r="M10" s="915">
        <v>55.879999999999995</v>
      </c>
      <c r="N10" s="916">
        <v>8541661</v>
      </c>
      <c r="O10" s="915">
        <v>4957.66</v>
      </c>
      <c r="P10" s="916">
        <v>907456</v>
      </c>
      <c r="Q10" s="915">
        <v>1110.93</v>
      </c>
      <c r="R10" s="916">
        <v>479308</v>
      </c>
      <c r="S10" s="915">
        <v>71.839999999999975</v>
      </c>
      <c r="T10" s="916">
        <v>199561</v>
      </c>
      <c r="U10" s="915">
        <v>209.04000000000002</v>
      </c>
      <c r="V10" s="916">
        <v>11228051</v>
      </c>
      <c r="W10" s="915">
        <v>7109.7800000000007</v>
      </c>
      <c r="X10" s="915">
        <v>3002.09</v>
      </c>
      <c r="Y10" s="916" t="s">
        <v>1295</v>
      </c>
      <c r="Z10" s="916">
        <v>144624702</v>
      </c>
      <c r="AA10" s="915">
        <v>103942.53</v>
      </c>
      <c r="AB10" s="916">
        <v>18111</v>
      </c>
      <c r="AC10" s="915">
        <v>61.669999999999995</v>
      </c>
      <c r="AD10" s="916">
        <v>6600050</v>
      </c>
      <c r="AE10" s="915">
        <v>6668.11</v>
      </c>
      <c r="AF10" s="916">
        <v>47953</v>
      </c>
      <c r="AG10" s="915">
        <v>71.12</v>
      </c>
      <c r="AH10" s="916">
        <v>586851</v>
      </c>
      <c r="AI10" s="915">
        <v>79.209999999999994</v>
      </c>
      <c r="AJ10" s="916">
        <v>17265</v>
      </c>
      <c r="AK10" s="915">
        <v>22</v>
      </c>
      <c r="AL10" s="916">
        <v>151894932</v>
      </c>
      <c r="AM10" s="915">
        <v>110844.63999999998</v>
      </c>
      <c r="AN10" s="916">
        <v>562137</v>
      </c>
      <c r="AO10" s="915">
        <v>359.77000000000004</v>
      </c>
      <c r="AP10" s="916">
        <v>97635</v>
      </c>
      <c r="AQ10" s="915">
        <v>111.22999999999999</v>
      </c>
      <c r="AR10" s="916">
        <v>790240</v>
      </c>
      <c r="AS10" s="915">
        <v>1179.3</v>
      </c>
      <c r="AT10" s="916">
        <v>2307859</v>
      </c>
      <c r="AU10" s="915">
        <v>2180.1</v>
      </c>
      <c r="AV10" s="916">
        <v>261323</v>
      </c>
      <c r="AW10" s="915">
        <v>71.890000000000015</v>
      </c>
      <c r="AX10" s="916" t="s">
        <v>1295</v>
      </c>
      <c r="AY10" s="916">
        <v>3359422</v>
      </c>
      <c r="AZ10" s="915">
        <v>3431.24</v>
      </c>
      <c r="BA10" s="916">
        <v>167122535</v>
      </c>
      <c r="BB10" s="915">
        <v>121795.34999999998</v>
      </c>
      <c r="BC10" s="916">
        <v>769296</v>
      </c>
      <c r="BD10" s="916">
        <v>9062049</v>
      </c>
      <c r="BE10" s="916">
        <v>160225</v>
      </c>
      <c r="BF10" s="916">
        <v>9991570</v>
      </c>
      <c r="BG10" s="916">
        <v>1436837</v>
      </c>
      <c r="BH10" s="916">
        <v>7457338</v>
      </c>
      <c r="BI10" s="915">
        <v>25524.160000000003</v>
      </c>
      <c r="BJ10" s="916">
        <v>617418</v>
      </c>
      <c r="BK10" s="916">
        <v>1354198797</v>
      </c>
      <c r="BL10" s="915">
        <v>196061.47</v>
      </c>
      <c r="BM10" s="916">
        <v>36333933</v>
      </c>
      <c r="BN10" s="916">
        <v>610</v>
      </c>
      <c r="BO10" s="916">
        <v>2115664</v>
      </c>
      <c r="BP10" s="915">
        <v>3579.19</v>
      </c>
      <c r="BQ10" s="916">
        <v>261693</v>
      </c>
      <c r="BR10" s="916">
        <v>8517</v>
      </c>
      <c r="BS10" s="916">
        <v>32270</v>
      </c>
    </row>
    <row r="11" spans="1:75" s="198" customFormat="1" ht="12.2" customHeight="1">
      <c r="A11" s="627" t="s">
        <v>1328</v>
      </c>
      <c r="B11" s="627">
        <v>22322674</v>
      </c>
      <c r="C11" s="913">
        <v>1890492.57</v>
      </c>
      <c r="D11" s="627">
        <v>28084</v>
      </c>
      <c r="E11" s="913">
        <v>1795.25</v>
      </c>
      <c r="F11" s="627">
        <v>22350758</v>
      </c>
      <c r="G11" s="913">
        <v>1892287.75</v>
      </c>
      <c r="H11" s="627">
        <v>13740301</v>
      </c>
      <c r="I11" s="913">
        <v>106392.4</v>
      </c>
      <c r="J11" s="627">
        <v>1232084</v>
      </c>
      <c r="K11" s="913">
        <v>865.73</v>
      </c>
      <c r="L11" s="627">
        <v>39679</v>
      </c>
      <c r="M11" s="913">
        <v>68.77</v>
      </c>
      <c r="N11" s="627">
        <v>10419658</v>
      </c>
      <c r="O11" s="913">
        <v>5608.25</v>
      </c>
      <c r="P11" s="627">
        <v>1315626</v>
      </c>
      <c r="Q11" s="913">
        <v>1353.7</v>
      </c>
      <c r="R11" s="627">
        <v>976634</v>
      </c>
      <c r="S11" s="913">
        <v>188.72999999999996</v>
      </c>
      <c r="T11" s="627">
        <v>363752</v>
      </c>
      <c r="U11" s="913">
        <v>353.77</v>
      </c>
      <c r="V11" s="627">
        <v>14347433</v>
      </c>
      <c r="W11" s="913">
        <v>8439.2599999999984</v>
      </c>
      <c r="X11" s="913">
        <v>3490.8100000000004</v>
      </c>
      <c r="Y11" s="627" t="s">
        <v>1328</v>
      </c>
      <c r="Z11" s="627">
        <v>146235630</v>
      </c>
      <c r="AA11" s="913">
        <v>110256.77</v>
      </c>
      <c r="AB11" s="627">
        <v>17173</v>
      </c>
      <c r="AC11" s="913">
        <v>41.2</v>
      </c>
      <c r="AD11" s="627">
        <v>7537435</v>
      </c>
      <c r="AE11" s="913">
        <v>5396.44</v>
      </c>
      <c r="AF11" s="627">
        <v>54815</v>
      </c>
      <c r="AG11" s="913">
        <v>91.14</v>
      </c>
      <c r="AH11" s="627">
        <v>861696</v>
      </c>
      <c r="AI11" s="913">
        <v>159.82999999999998</v>
      </c>
      <c r="AJ11" s="627">
        <v>20053</v>
      </c>
      <c r="AK11" s="913">
        <v>22.61</v>
      </c>
      <c r="AL11" s="627">
        <v>154726802</v>
      </c>
      <c r="AM11" s="913">
        <v>115968.20999999999</v>
      </c>
      <c r="AN11" s="627">
        <v>707730</v>
      </c>
      <c r="AO11" s="913">
        <v>484.18999999999994</v>
      </c>
      <c r="AP11" s="627">
        <v>135948</v>
      </c>
      <c r="AQ11" s="913">
        <v>200.08</v>
      </c>
      <c r="AR11" s="627">
        <v>673548</v>
      </c>
      <c r="AS11" s="913">
        <v>1013.99</v>
      </c>
      <c r="AT11" s="627">
        <v>993729</v>
      </c>
      <c r="AU11" s="913">
        <v>920.83999999999992</v>
      </c>
      <c r="AV11" s="627">
        <v>624526</v>
      </c>
      <c r="AW11" s="913">
        <v>116.24000000000001</v>
      </c>
      <c r="AX11" s="627" t="s">
        <v>1328</v>
      </c>
      <c r="AY11" s="627">
        <v>2291803</v>
      </c>
      <c r="AZ11" s="913">
        <v>2051.16</v>
      </c>
      <c r="BA11" s="627">
        <v>172160012</v>
      </c>
      <c r="BB11" s="913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3">
        <v>35753.89</v>
      </c>
      <c r="BJ11" s="627">
        <v>758570</v>
      </c>
      <c r="BK11" s="627">
        <v>1663219636</v>
      </c>
      <c r="BL11" s="913">
        <v>277072.70999999996</v>
      </c>
      <c r="BM11" s="627">
        <v>53702690</v>
      </c>
      <c r="BN11" s="627">
        <v>2891</v>
      </c>
      <c r="BO11" s="627">
        <v>6773093</v>
      </c>
      <c r="BP11" s="913">
        <v>12556.86</v>
      </c>
      <c r="BQ11" s="627">
        <v>845699</v>
      </c>
      <c r="BR11" s="627">
        <v>9246</v>
      </c>
      <c r="BS11" s="627">
        <v>36288</v>
      </c>
      <c r="BT11" s="1536"/>
      <c r="BU11" s="1536"/>
      <c r="BV11" s="1536"/>
      <c r="BW11" s="1536"/>
    </row>
    <row r="12" spans="1:75" s="198" customFormat="1" ht="12.2" customHeight="1">
      <c r="A12" s="916" t="s">
        <v>1467</v>
      </c>
      <c r="B12" s="916">
        <v>22627089</v>
      </c>
      <c r="C12" s="915">
        <v>2161164.56</v>
      </c>
      <c r="D12" s="916">
        <v>23670</v>
      </c>
      <c r="E12" s="915">
        <v>927.43000000000006</v>
      </c>
      <c r="F12" s="916">
        <v>22650759</v>
      </c>
      <c r="G12" s="915">
        <v>2162091.9900000002</v>
      </c>
      <c r="H12" s="916">
        <v>17876492</v>
      </c>
      <c r="I12" s="915">
        <v>146257.59</v>
      </c>
      <c r="J12" s="916">
        <v>1561972</v>
      </c>
      <c r="K12" s="915">
        <v>1109.03</v>
      </c>
      <c r="L12" s="916">
        <v>49077</v>
      </c>
      <c r="M12" s="915">
        <v>142.41999999999999</v>
      </c>
      <c r="N12" s="916">
        <v>12465119</v>
      </c>
      <c r="O12" s="915">
        <v>6980.8300000000017</v>
      </c>
      <c r="P12" s="916">
        <v>1613052</v>
      </c>
      <c r="Q12" s="915">
        <v>1615.1100000000001</v>
      </c>
      <c r="R12" s="916">
        <v>1981491</v>
      </c>
      <c r="S12" s="915">
        <v>337.93999999999994</v>
      </c>
      <c r="T12" s="916">
        <v>595913</v>
      </c>
      <c r="U12" s="915">
        <v>598.15</v>
      </c>
      <c r="V12" s="916">
        <v>18266624</v>
      </c>
      <c r="W12" s="915">
        <v>10783.369999999999</v>
      </c>
      <c r="X12" s="915">
        <v>4257.9500000000007</v>
      </c>
      <c r="Y12" s="916" t="s">
        <v>1467</v>
      </c>
      <c r="Z12" s="916">
        <v>163642668</v>
      </c>
      <c r="AA12" s="915">
        <v>124401.26999999999</v>
      </c>
      <c r="AB12" s="916">
        <v>17071</v>
      </c>
      <c r="AC12" s="915">
        <v>44.7</v>
      </c>
      <c r="AD12" s="916">
        <v>9043546</v>
      </c>
      <c r="AE12" s="915">
        <v>5563.4999999999991</v>
      </c>
      <c r="AF12" s="916">
        <v>60230</v>
      </c>
      <c r="AG12" s="915">
        <v>113.01</v>
      </c>
      <c r="AH12" s="916">
        <v>3002978</v>
      </c>
      <c r="AI12" s="915">
        <v>307.50000000000006</v>
      </c>
      <c r="AJ12" s="916">
        <v>32101</v>
      </c>
      <c r="AK12" s="915">
        <v>36</v>
      </c>
      <c r="AL12" s="916">
        <v>175798594</v>
      </c>
      <c r="AM12" s="915">
        <v>130466.12</v>
      </c>
      <c r="AN12" s="916">
        <v>902167</v>
      </c>
      <c r="AO12" s="915">
        <v>611.38</v>
      </c>
      <c r="AP12" s="916">
        <v>328135</v>
      </c>
      <c r="AQ12" s="915">
        <v>372.05</v>
      </c>
      <c r="AR12" s="916">
        <v>468092</v>
      </c>
      <c r="AS12" s="915">
        <v>1175.83</v>
      </c>
      <c r="AT12" s="916">
        <v>1397236</v>
      </c>
      <c r="AU12" s="915">
        <v>1330.15</v>
      </c>
      <c r="AV12" s="916">
        <v>821042</v>
      </c>
      <c r="AW12" s="915">
        <v>157.22999999999999</v>
      </c>
      <c r="AX12" s="916" t="s">
        <v>1467</v>
      </c>
      <c r="AY12" s="916">
        <v>2686370</v>
      </c>
      <c r="AZ12" s="915">
        <v>2663.25</v>
      </c>
      <c r="BA12" s="916">
        <v>197921660</v>
      </c>
      <c r="BB12" s="915">
        <v>144743.41999999998</v>
      </c>
      <c r="BC12" s="916">
        <v>1000474</v>
      </c>
      <c r="BD12" s="916">
        <v>12575605</v>
      </c>
      <c r="BE12" s="916">
        <v>158526</v>
      </c>
      <c r="BF12" s="916">
        <v>13734605</v>
      </c>
      <c r="BG12" s="916">
        <v>1856866</v>
      </c>
      <c r="BH12" s="916">
        <v>8420438</v>
      </c>
      <c r="BI12" s="915">
        <v>32842.019999999997</v>
      </c>
      <c r="BJ12" s="916">
        <v>829783</v>
      </c>
      <c r="BK12" s="916">
        <v>2035798140</v>
      </c>
      <c r="BL12" s="915">
        <v>348295.24</v>
      </c>
      <c r="BM12" s="916">
        <v>61862982</v>
      </c>
      <c r="BN12" s="916">
        <v>3598</v>
      </c>
      <c r="BO12" s="916">
        <v>15412359</v>
      </c>
      <c r="BP12" s="915">
        <v>35093.81</v>
      </c>
      <c r="BQ12" s="916">
        <v>1783156</v>
      </c>
      <c r="BR12" s="916">
        <v>9747</v>
      </c>
      <c r="BS12" s="916">
        <v>41130</v>
      </c>
      <c r="BT12" s="1536"/>
      <c r="BU12" s="1536"/>
      <c r="BV12" s="1536"/>
      <c r="BW12" s="1536"/>
    </row>
    <row r="13" spans="1:75" s="198" customFormat="1" ht="12.2" customHeight="1">
      <c r="A13" s="627" t="s">
        <v>1596</v>
      </c>
      <c r="B13" s="627">
        <v>22799904</v>
      </c>
      <c r="C13" s="913">
        <v>2282770.0784365749</v>
      </c>
      <c r="D13" s="627">
        <v>146133</v>
      </c>
      <c r="E13" s="913">
        <v>6719.4699999999993</v>
      </c>
      <c r="F13" s="627">
        <v>22946037</v>
      </c>
      <c r="G13" s="913">
        <v>2289489.5484365751</v>
      </c>
      <c r="H13" s="627">
        <v>26758871</v>
      </c>
      <c r="I13" s="913">
        <v>178032.39367637</v>
      </c>
      <c r="J13" s="627">
        <v>1951880</v>
      </c>
      <c r="K13" s="913">
        <v>1313.06</v>
      </c>
      <c r="L13" s="627">
        <v>50720</v>
      </c>
      <c r="M13" s="913">
        <v>92.95999999999998</v>
      </c>
      <c r="N13" s="627">
        <v>15028508</v>
      </c>
      <c r="O13" s="913">
        <v>8290.52</v>
      </c>
      <c r="P13" s="627">
        <v>1923225</v>
      </c>
      <c r="Q13" s="913">
        <v>1702.96</v>
      </c>
      <c r="R13" s="627">
        <v>3124193</v>
      </c>
      <c r="S13" s="913">
        <v>672.61000000000013</v>
      </c>
      <c r="T13" s="627">
        <v>963802</v>
      </c>
      <c r="U13" s="913">
        <v>771.59000000000015</v>
      </c>
      <c r="V13" s="627">
        <v>23042328</v>
      </c>
      <c r="W13" s="913">
        <v>12843.560000000001</v>
      </c>
      <c r="X13" s="913">
        <v>5056.17</v>
      </c>
      <c r="Y13" s="627" t="s">
        <v>1596</v>
      </c>
      <c r="Z13" s="627">
        <v>188970118</v>
      </c>
      <c r="AA13" s="913">
        <v>148183.74999999997</v>
      </c>
      <c r="AB13" s="627">
        <v>19830</v>
      </c>
      <c r="AC13" s="913">
        <v>54.44</v>
      </c>
      <c r="AD13" s="627">
        <v>11477894</v>
      </c>
      <c r="AE13" s="913">
        <v>5802.16</v>
      </c>
      <c r="AF13" s="627">
        <v>70659</v>
      </c>
      <c r="AG13" s="913">
        <v>133.76999999999998</v>
      </c>
      <c r="AH13" s="627">
        <v>11499453</v>
      </c>
      <c r="AI13" s="913">
        <v>527.10000000000014</v>
      </c>
      <c r="AJ13" s="627">
        <v>53845</v>
      </c>
      <c r="AK13" s="913">
        <v>48.650000000000006</v>
      </c>
      <c r="AL13" s="627">
        <v>212091799</v>
      </c>
      <c r="AM13" s="913">
        <v>154749.99</v>
      </c>
      <c r="AN13" s="627">
        <v>1423955</v>
      </c>
      <c r="AO13" s="913">
        <v>932.91</v>
      </c>
      <c r="AP13" s="627">
        <v>780021</v>
      </c>
      <c r="AQ13" s="913">
        <v>279</v>
      </c>
      <c r="AR13" s="627">
        <v>712417</v>
      </c>
      <c r="AS13" s="913">
        <v>1272.06</v>
      </c>
      <c r="AT13" s="627">
        <v>1330714</v>
      </c>
      <c r="AU13" s="913">
        <v>1415.1799999999998</v>
      </c>
      <c r="AV13" s="627">
        <v>619956</v>
      </c>
      <c r="AW13" s="913">
        <v>148.99</v>
      </c>
      <c r="AX13" s="627" t="s">
        <v>1596</v>
      </c>
      <c r="AY13" s="627">
        <v>2762794</v>
      </c>
      <c r="AZ13" s="913">
        <v>2861.84</v>
      </c>
      <c r="BA13" s="627">
        <v>240003413</v>
      </c>
      <c r="BB13" s="913">
        <v>171462.15000000002</v>
      </c>
      <c r="BC13" s="627">
        <v>1394675</v>
      </c>
      <c r="BD13" s="1607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3">
        <v>47615.11</v>
      </c>
      <c r="BJ13" s="627">
        <v>1024772</v>
      </c>
      <c r="BK13" s="627">
        <v>2467033312</v>
      </c>
      <c r="BL13" s="913">
        <v>402913.265935726</v>
      </c>
      <c r="BM13" s="627">
        <v>73778610</v>
      </c>
      <c r="BN13" s="627">
        <v>5462</v>
      </c>
      <c r="BO13" s="627">
        <v>32088874</v>
      </c>
      <c r="BP13" s="913">
        <v>84874.87</v>
      </c>
      <c r="BQ13" s="627">
        <v>3414601</v>
      </c>
      <c r="BR13" s="627">
        <v>10722</v>
      </c>
      <c r="BS13" s="627">
        <v>52846</v>
      </c>
      <c r="BT13" s="1405"/>
      <c r="BV13" s="1537"/>
    </row>
    <row r="14" spans="1:75" s="198" customFormat="1" ht="12.2" customHeight="1">
      <c r="A14" s="1349" t="s">
        <v>1691</v>
      </c>
      <c r="B14" s="1349">
        <v>19692996</v>
      </c>
      <c r="C14" s="1350">
        <v>2134775.6</v>
      </c>
      <c r="D14" s="1349">
        <v>202165</v>
      </c>
      <c r="E14" s="1350">
        <v>9638.827665630999</v>
      </c>
      <c r="F14" s="1349">
        <v>19895161</v>
      </c>
      <c r="G14" s="1350">
        <v>2144414.4</v>
      </c>
      <c r="H14" s="1349">
        <v>50257666</v>
      </c>
      <c r="I14" s="1350">
        <v>257440.06646475603</v>
      </c>
      <c r="J14" s="1349">
        <v>2376130</v>
      </c>
      <c r="K14" s="1350">
        <v>1571.4124550470001</v>
      </c>
      <c r="L14" s="1349">
        <v>39082</v>
      </c>
      <c r="M14" s="1350">
        <v>63.543494757600008</v>
      </c>
      <c r="N14" s="1349">
        <v>15306481</v>
      </c>
      <c r="O14" s="1350">
        <v>7966.2977085550001</v>
      </c>
      <c r="P14" s="1349">
        <v>1535082</v>
      </c>
      <c r="Q14" s="1350">
        <v>1266.0935939600001</v>
      </c>
      <c r="R14" s="1349">
        <v>4046124</v>
      </c>
      <c r="S14" s="1350">
        <v>1346.5782712749999</v>
      </c>
      <c r="T14" s="1349">
        <v>1202470</v>
      </c>
      <c r="U14" s="1350">
        <v>437.25777197175</v>
      </c>
      <c r="V14" s="1349">
        <v>24505369</v>
      </c>
      <c r="W14" s="1350">
        <v>12651.183295566349</v>
      </c>
      <c r="X14" s="1350">
        <v>5231.1335752910009</v>
      </c>
      <c r="Y14" s="1349" t="s">
        <v>1691</v>
      </c>
      <c r="Z14" s="1349">
        <v>193762532</v>
      </c>
      <c r="AA14" s="1350">
        <v>156878.86528764101</v>
      </c>
      <c r="AB14" s="1349">
        <v>21928</v>
      </c>
      <c r="AC14" s="1350">
        <v>55.000389470150004</v>
      </c>
      <c r="AD14" s="1349">
        <v>10367099</v>
      </c>
      <c r="AE14" s="1350">
        <v>5107.0373490185002</v>
      </c>
      <c r="AF14" s="1349">
        <v>89133</v>
      </c>
      <c r="AG14" s="1350">
        <v>92.192790867699998</v>
      </c>
      <c r="AH14" s="1349">
        <v>9820620</v>
      </c>
      <c r="AI14" s="1350">
        <v>1112.1988214419998</v>
      </c>
      <c r="AJ14" s="1349">
        <v>112794</v>
      </c>
      <c r="AK14" s="1350">
        <v>49.724057373549989</v>
      </c>
      <c r="AL14" s="1349">
        <v>214174106</v>
      </c>
      <c r="AM14" s="1350">
        <v>163295.01869581288</v>
      </c>
      <c r="AN14" s="1349">
        <v>1952354</v>
      </c>
      <c r="AO14" s="1350">
        <v>1329.0257139841999</v>
      </c>
      <c r="AP14" s="1349">
        <v>1275782</v>
      </c>
      <c r="AQ14" s="1350">
        <v>295.33457085704998</v>
      </c>
      <c r="AR14" s="1349">
        <v>747458</v>
      </c>
      <c r="AS14" s="1350">
        <v>904.85434712599999</v>
      </c>
      <c r="AT14" s="1349">
        <v>897425</v>
      </c>
      <c r="AU14" s="1350">
        <v>890.52063242899999</v>
      </c>
      <c r="AV14" s="1349">
        <v>330007</v>
      </c>
      <c r="AW14" s="1350">
        <v>104.929424063</v>
      </c>
      <c r="AX14" s="1349" t="s">
        <v>1691</v>
      </c>
      <c r="AY14" s="1349">
        <v>1974890</v>
      </c>
      <c r="AZ14" s="1350">
        <v>1900.3044036180002</v>
      </c>
      <c r="BA14" s="1349">
        <v>243882501</v>
      </c>
      <c r="BB14" s="1350">
        <v>179470.86667983848</v>
      </c>
      <c r="BC14" s="1349">
        <v>1560459</v>
      </c>
      <c r="BD14" s="1540">
        <v>19725783</v>
      </c>
      <c r="BE14" s="1349">
        <v>586230</v>
      </c>
      <c r="BF14" s="1349">
        <v>21872472</v>
      </c>
      <c r="BG14" s="1349">
        <v>2742241</v>
      </c>
      <c r="BH14" s="1349">
        <v>19897516</v>
      </c>
      <c r="BI14" s="1350">
        <v>71561.035925468008</v>
      </c>
      <c r="BJ14" s="1535">
        <v>1160121</v>
      </c>
      <c r="BK14" s="1349">
        <v>2859543446</v>
      </c>
      <c r="BL14" s="1350">
        <v>489558.87528139201</v>
      </c>
      <c r="BM14" s="1349">
        <v>107475632</v>
      </c>
      <c r="BN14" s="1349">
        <v>8812</v>
      </c>
      <c r="BO14" s="1349">
        <v>66184321</v>
      </c>
      <c r="BP14" s="1350">
        <v>191433.76619025745</v>
      </c>
      <c r="BQ14" s="1349">
        <v>7357471</v>
      </c>
      <c r="BR14" s="1349">
        <v>11047</v>
      </c>
      <c r="BS14" s="1349">
        <v>65946</v>
      </c>
      <c r="BT14" s="1405"/>
      <c r="BU14" s="1537"/>
      <c r="BV14" s="1536"/>
    </row>
    <row r="15" spans="1:75" s="198" customFormat="1" ht="12.2" customHeight="1">
      <c r="A15" s="628" t="s">
        <v>1760</v>
      </c>
      <c r="B15" s="628">
        <f>B16+B17+B18+B19+B20+B21+B22+B23+B24+B25+B26+B27</f>
        <v>20659521</v>
      </c>
      <c r="C15" s="1267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67">
        <f t="shared" si="0"/>
        <v>10717.059649764</v>
      </c>
      <c r="F15" s="1266">
        <f t="shared" si="0"/>
        <v>21099154</v>
      </c>
      <c r="G15" s="1267">
        <f t="shared" si="0"/>
        <v>2433890.9484998598</v>
      </c>
      <c r="H15" s="1635">
        <f t="shared" si="0"/>
        <v>133383702</v>
      </c>
      <c r="I15" s="1267">
        <f t="shared" si="0"/>
        <v>424084.19240942295</v>
      </c>
      <c r="J15" s="628">
        <f t="shared" si="0"/>
        <v>3107852</v>
      </c>
      <c r="K15" s="1267">
        <f t="shared" si="0"/>
        <v>3126.5799166269994</v>
      </c>
      <c r="L15" s="628">
        <f t="shared" si="0"/>
        <v>14382</v>
      </c>
      <c r="M15" s="1267">
        <f t="shared" si="0"/>
        <v>29.033245158550002</v>
      </c>
      <c r="N15" s="628">
        <f t="shared" si="0"/>
        <v>16955039</v>
      </c>
      <c r="O15" s="1267">
        <f t="shared" si="0"/>
        <v>10577.675231101</v>
      </c>
      <c r="P15" s="628">
        <f t="shared" si="0"/>
        <v>714030</v>
      </c>
      <c r="Q15" s="1267">
        <f t="shared" si="0"/>
        <v>477.35958799905001</v>
      </c>
      <c r="R15" s="628">
        <f t="shared" si="0"/>
        <v>7411758</v>
      </c>
      <c r="S15" s="1267">
        <f t="shared" si="0"/>
        <v>3820.1791295130001</v>
      </c>
      <c r="T15" s="628">
        <f t="shared" si="0"/>
        <v>1114214</v>
      </c>
      <c r="U15" s="1267">
        <f t="shared" si="0"/>
        <v>419.69825229380001</v>
      </c>
      <c r="V15" s="628">
        <f t="shared" si="0"/>
        <v>29317275</v>
      </c>
      <c r="W15" s="1267">
        <f t="shared" si="0"/>
        <v>18450.525362692402</v>
      </c>
      <c r="X15" s="1267">
        <f>X27</f>
        <v>6452.2631663700004</v>
      </c>
      <c r="Y15" s="628" t="s">
        <v>1760</v>
      </c>
      <c r="Z15" s="628">
        <f t="shared" si="0"/>
        <v>241633196</v>
      </c>
      <c r="AA15" s="1267">
        <f t="shared" si="0"/>
        <v>212200.39009012704</v>
      </c>
      <c r="AB15" s="628">
        <f t="shared" si="0"/>
        <v>13230</v>
      </c>
      <c r="AC15" s="1267">
        <f t="shared" si="0"/>
        <v>51.706051254700007</v>
      </c>
      <c r="AD15" s="628">
        <f t="shared" si="0"/>
        <v>15692084</v>
      </c>
      <c r="AE15" s="1267">
        <f t="shared" si="0"/>
        <v>6093.4694801100004</v>
      </c>
      <c r="AF15" s="628">
        <f t="shared" si="0"/>
        <v>84064</v>
      </c>
      <c r="AG15" s="1267">
        <f t="shared" si="0"/>
        <v>44.073489145549999</v>
      </c>
      <c r="AH15" s="628">
        <f t="shared" si="0"/>
        <v>15493699</v>
      </c>
      <c r="AI15" s="1267">
        <f t="shared" si="0"/>
        <v>4069.9201925638004</v>
      </c>
      <c r="AJ15" s="628">
        <f t="shared" si="0"/>
        <v>234778</v>
      </c>
      <c r="AK15" s="1267">
        <f t="shared" si="0"/>
        <v>67.917196810749999</v>
      </c>
      <c r="AL15" s="628">
        <f t="shared" si="0"/>
        <v>273151051</v>
      </c>
      <c r="AM15" s="1267">
        <f t="shared" si="0"/>
        <v>222527.47650001181</v>
      </c>
      <c r="AN15" s="628">
        <f t="shared" si="0"/>
        <v>2722079</v>
      </c>
      <c r="AO15" s="1267">
        <f t="shared" si="0"/>
        <v>1828.257555976</v>
      </c>
      <c r="AP15" s="628">
        <f t="shared" si="0"/>
        <v>1271573</v>
      </c>
      <c r="AQ15" s="1267">
        <f t="shared" si="0"/>
        <v>223.65855985310003</v>
      </c>
      <c r="AR15" s="628">
        <f t="shared" si="0"/>
        <v>817466</v>
      </c>
      <c r="AS15" s="1267">
        <f t="shared" si="0"/>
        <v>972.30655500199998</v>
      </c>
      <c r="AT15" s="628">
        <f t="shared" si="0"/>
        <v>823656</v>
      </c>
      <c r="AU15" s="1267">
        <f t="shared" si="0"/>
        <v>612.35550458149999</v>
      </c>
      <c r="AV15" s="628">
        <f t="shared" si="0"/>
        <v>472592</v>
      </c>
      <c r="AW15" s="1267">
        <f t="shared" si="0"/>
        <v>123.242801439</v>
      </c>
      <c r="AX15" s="628" t="s">
        <v>1760</v>
      </c>
      <c r="AY15" s="628">
        <f t="shared" si="0"/>
        <v>2113714</v>
      </c>
      <c r="AZ15" s="1267">
        <f t="shared" si="0"/>
        <v>1707.9048610225002</v>
      </c>
      <c r="BA15" s="628">
        <f t="shared" si="0"/>
        <v>308575692</v>
      </c>
      <c r="BB15" s="1267">
        <f>BB16+BB17+BB18+BB19+BB20+BB21+BB22+BB23+BB24+BB25+BB26+BB27</f>
        <v>244737.8228395558</v>
      </c>
      <c r="BC15" s="628">
        <f>BC27</f>
        <v>1734418</v>
      </c>
      <c r="BD15" s="1539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67">
        <f t="shared" si="0"/>
        <v>101060.36294114799</v>
      </c>
      <c r="BJ15" s="628">
        <f>BJ27</f>
        <v>1377616</v>
      </c>
      <c r="BK15" s="628">
        <f t="shared" si="0"/>
        <v>3892218366</v>
      </c>
      <c r="BL15" s="1267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67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405"/>
    </row>
    <row r="16" spans="1:75" s="198" customFormat="1" ht="12.2" customHeight="1">
      <c r="A16" s="916" t="s">
        <v>603</v>
      </c>
      <c r="B16" s="916">
        <v>1792789</v>
      </c>
      <c r="C16" s="915">
        <v>208520.75498059497</v>
      </c>
      <c r="D16" s="916">
        <v>23365</v>
      </c>
      <c r="E16" s="915">
        <v>946.80334653700015</v>
      </c>
      <c r="F16" s="914">
        <v>1816154</v>
      </c>
      <c r="G16" s="915">
        <v>209467.55832713196</v>
      </c>
      <c r="H16" s="916">
        <v>9553153</v>
      </c>
      <c r="I16" s="915">
        <v>31872.413879079002</v>
      </c>
      <c r="J16" s="916">
        <v>157274</v>
      </c>
      <c r="K16" s="915">
        <v>132.34804609600002</v>
      </c>
      <c r="L16" s="916">
        <v>1064</v>
      </c>
      <c r="M16" s="915">
        <v>2.1662194179499998</v>
      </c>
      <c r="N16" s="916">
        <v>1091185</v>
      </c>
      <c r="O16" s="915">
        <v>818.01771451599984</v>
      </c>
      <c r="P16" s="916">
        <v>41087</v>
      </c>
      <c r="Q16" s="915">
        <v>19.809321627299997</v>
      </c>
      <c r="R16" s="916">
        <v>549495</v>
      </c>
      <c r="S16" s="915">
        <v>255.04270412599999</v>
      </c>
      <c r="T16" s="916">
        <v>71068</v>
      </c>
      <c r="U16" s="915">
        <v>24.99104407095</v>
      </c>
      <c r="V16" s="916">
        <v>1911173</v>
      </c>
      <c r="W16" s="915">
        <v>1252.3750498541999</v>
      </c>
      <c r="X16" s="915">
        <v>5318.0093643679993</v>
      </c>
      <c r="Y16" s="916" t="s">
        <v>603</v>
      </c>
      <c r="Z16" s="916">
        <v>18804525</v>
      </c>
      <c r="AA16" s="915">
        <v>17253.408423638997</v>
      </c>
      <c r="AB16" s="916">
        <v>901</v>
      </c>
      <c r="AC16" s="915">
        <v>2.5440419250500002</v>
      </c>
      <c r="AD16" s="916">
        <v>1085713</v>
      </c>
      <c r="AE16" s="915">
        <v>526.57921172400017</v>
      </c>
      <c r="AF16" s="916">
        <v>3485</v>
      </c>
      <c r="AG16" s="915">
        <v>1.9540727771999999</v>
      </c>
      <c r="AH16" s="916">
        <v>1289908</v>
      </c>
      <c r="AI16" s="915">
        <v>336.234061075</v>
      </c>
      <c r="AJ16" s="916">
        <v>9772</v>
      </c>
      <c r="AK16" s="915">
        <v>2.8501941119999996</v>
      </c>
      <c r="AL16" s="916">
        <v>21194304</v>
      </c>
      <c r="AM16" s="915">
        <v>18123.570005252252</v>
      </c>
      <c r="AN16" s="916">
        <v>268110</v>
      </c>
      <c r="AO16" s="915">
        <v>187.54458199599992</v>
      </c>
      <c r="AP16" s="916">
        <v>63742</v>
      </c>
      <c r="AQ16" s="915">
        <v>11.567521420249999</v>
      </c>
      <c r="AR16" s="916">
        <v>57638</v>
      </c>
      <c r="AS16" s="915">
        <v>76.441633840000009</v>
      </c>
      <c r="AT16" s="916">
        <v>43128</v>
      </c>
      <c r="AU16" s="915">
        <v>32.216417915000001</v>
      </c>
      <c r="AV16" s="916">
        <v>31643</v>
      </c>
      <c r="AW16" s="915">
        <v>7.151797256</v>
      </c>
      <c r="AX16" s="916" t="s">
        <v>603</v>
      </c>
      <c r="AY16" s="916">
        <v>132409</v>
      </c>
      <c r="AZ16" s="915">
        <v>115.809849011</v>
      </c>
      <c r="BA16" s="916">
        <v>23569738</v>
      </c>
      <c r="BB16" s="915">
        <v>19690.8670075337</v>
      </c>
      <c r="BC16" s="916">
        <v>1564039</v>
      </c>
      <c r="BD16" s="916">
        <v>19972790</v>
      </c>
      <c r="BE16" s="916">
        <v>589785</v>
      </c>
      <c r="BF16" s="916">
        <v>22126614</v>
      </c>
      <c r="BG16" s="916">
        <v>2841714</v>
      </c>
      <c r="BH16" s="916">
        <v>2264927</v>
      </c>
      <c r="BI16" s="915">
        <v>6254.9433809349994</v>
      </c>
      <c r="BJ16" s="916">
        <v>1169791</v>
      </c>
      <c r="BK16" s="916">
        <v>319278197</v>
      </c>
      <c r="BL16" s="915">
        <v>65278.887408171009</v>
      </c>
      <c r="BM16" s="916">
        <v>112169795</v>
      </c>
      <c r="BN16" s="916">
        <v>9180</v>
      </c>
      <c r="BO16" s="916">
        <v>7661508</v>
      </c>
      <c r="BP16" s="915">
        <v>28454.138351717997</v>
      </c>
      <c r="BQ16" s="916">
        <v>7686000</v>
      </c>
      <c r="BR16" s="916">
        <v>11106</v>
      </c>
      <c r="BS16" s="916">
        <v>65683</v>
      </c>
      <c r="BT16" s="1405"/>
    </row>
    <row r="17" spans="1:73" s="198" customFormat="1" ht="12.2" customHeight="1">
      <c r="A17" s="627" t="s">
        <v>604</v>
      </c>
      <c r="B17" s="627">
        <v>1305782</v>
      </c>
      <c r="C17" s="913">
        <v>161219.78375747195</v>
      </c>
      <c r="D17" s="627">
        <v>28540</v>
      </c>
      <c r="E17" s="913">
        <v>664.75811544400005</v>
      </c>
      <c r="F17" s="912">
        <v>1334322</v>
      </c>
      <c r="G17" s="913">
        <v>161884.54187291596</v>
      </c>
      <c r="H17" s="627">
        <v>4310438</v>
      </c>
      <c r="I17" s="913">
        <v>24335.795845624994</v>
      </c>
      <c r="J17" s="627">
        <v>165162</v>
      </c>
      <c r="K17" s="913">
        <v>605.26816944199982</v>
      </c>
      <c r="L17" s="627">
        <v>1139</v>
      </c>
      <c r="M17" s="913">
        <v>2.3721461166499997</v>
      </c>
      <c r="N17" s="627">
        <v>1104989</v>
      </c>
      <c r="O17" s="913">
        <v>698.84947389499996</v>
      </c>
      <c r="P17" s="627">
        <v>46389</v>
      </c>
      <c r="Q17" s="913">
        <v>24.455569326600003</v>
      </c>
      <c r="R17" s="627">
        <v>490579</v>
      </c>
      <c r="S17" s="913">
        <v>194.20171004099998</v>
      </c>
      <c r="T17" s="627">
        <v>73849</v>
      </c>
      <c r="U17" s="913">
        <v>26.748840625099994</v>
      </c>
      <c r="V17" s="627">
        <v>1882107</v>
      </c>
      <c r="W17" s="913">
        <v>1551.8959094463498</v>
      </c>
      <c r="X17" s="913">
        <v>5419.8772305920011</v>
      </c>
      <c r="Y17" s="627" t="s">
        <v>604</v>
      </c>
      <c r="Z17" s="627">
        <v>15028090</v>
      </c>
      <c r="AA17" s="913">
        <v>12530.226832798997</v>
      </c>
      <c r="AB17" s="627">
        <v>887</v>
      </c>
      <c r="AC17" s="913">
        <v>2.6580968739999999</v>
      </c>
      <c r="AD17" s="627">
        <v>994290</v>
      </c>
      <c r="AE17" s="913">
        <v>416.92138413700008</v>
      </c>
      <c r="AF17" s="627">
        <v>3922</v>
      </c>
      <c r="AG17" s="913">
        <v>2.1960615039999998</v>
      </c>
      <c r="AH17" s="627">
        <v>1253697</v>
      </c>
      <c r="AI17" s="913">
        <v>246.71132085100004</v>
      </c>
      <c r="AJ17" s="627">
        <v>9243</v>
      </c>
      <c r="AK17" s="913">
        <v>3.2853108614999997</v>
      </c>
      <c r="AL17" s="627">
        <v>17290129</v>
      </c>
      <c r="AM17" s="913">
        <v>13201.999007026498</v>
      </c>
      <c r="AN17" s="627">
        <v>167553</v>
      </c>
      <c r="AO17" s="913">
        <v>97.938782958999994</v>
      </c>
      <c r="AP17" s="627">
        <v>60496</v>
      </c>
      <c r="AQ17" s="913">
        <v>10.315596612499998</v>
      </c>
      <c r="AR17" s="627">
        <v>52058</v>
      </c>
      <c r="AS17" s="913">
        <v>61.478984913000012</v>
      </c>
      <c r="AT17" s="627">
        <v>41833</v>
      </c>
      <c r="AU17" s="913">
        <v>29.587424599000006</v>
      </c>
      <c r="AV17" s="627">
        <v>38589</v>
      </c>
      <c r="AW17" s="913">
        <v>7.3770681319999998</v>
      </c>
      <c r="AX17" s="627" t="s">
        <v>604</v>
      </c>
      <c r="AY17" s="627">
        <v>132480</v>
      </c>
      <c r="AZ17" s="913">
        <v>98.443477644000026</v>
      </c>
      <c r="BA17" s="627">
        <v>19532765</v>
      </c>
      <c r="BB17" s="913">
        <v>14960.592773688346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3">
        <v>6800.0551343920015</v>
      </c>
      <c r="BJ17" s="627">
        <v>1178572</v>
      </c>
      <c r="BK17" s="627">
        <v>278976621</v>
      </c>
      <c r="BL17" s="913">
        <v>43116.193847332004</v>
      </c>
      <c r="BM17" s="627">
        <v>114485746</v>
      </c>
      <c r="BN17" s="627">
        <v>9627</v>
      </c>
      <c r="BO17" s="627">
        <v>6353480</v>
      </c>
      <c r="BP17" s="913">
        <v>24403.434161475998</v>
      </c>
      <c r="BQ17" s="627">
        <v>7919440</v>
      </c>
      <c r="BR17" s="627">
        <v>11206</v>
      </c>
      <c r="BS17" s="627">
        <v>66297</v>
      </c>
      <c r="BT17" s="1405"/>
    </row>
    <row r="18" spans="1:73" s="198" customFormat="1" ht="12.2" customHeight="1">
      <c r="A18" s="916" t="s">
        <v>598</v>
      </c>
      <c r="B18" s="916">
        <v>1756677</v>
      </c>
      <c r="C18" s="915">
        <v>196284.94817137503</v>
      </c>
      <c r="D18" s="916">
        <v>17575</v>
      </c>
      <c r="E18" s="915">
        <v>829.62791622899999</v>
      </c>
      <c r="F18" s="914">
        <v>1774252</v>
      </c>
      <c r="G18" s="915">
        <v>197114.57608760401</v>
      </c>
      <c r="H18" s="916">
        <v>4647587</v>
      </c>
      <c r="I18" s="915">
        <v>28774.225708264003</v>
      </c>
      <c r="J18" s="916">
        <v>192429</v>
      </c>
      <c r="K18" s="915">
        <v>153.60580108799996</v>
      </c>
      <c r="L18" s="916">
        <v>1059</v>
      </c>
      <c r="M18" s="915">
        <v>2.1477818889</v>
      </c>
      <c r="N18" s="916">
        <v>1280960</v>
      </c>
      <c r="O18" s="915">
        <v>812.32593146199997</v>
      </c>
      <c r="P18" s="916">
        <v>50566</v>
      </c>
      <c r="Q18" s="915">
        <v>33.538907882249994</v>
      </c>
      <c r="R18" s="916">
        <v>518849</v>
      </c>
      <c r="S18" s="915">
        <v>188.12232971099996</v>
      </c>
      <c r="T18" s="916">
        <v>75397</v>
      </c>
      <c r="U18" s="915">
        <v>30.470471131000004</v>
      </c>
      <c r="V18" s="916">
        <v>2119260</v>
      </c>
      <c r="W18" s="915">
        <v>1220.21122316315</v>
      </c>
      <c r="X18" s="915">
        <v>5541.9510129200007</v>
      </c>
      <c r="Y18" s="916" t="s">
        <v>598</v>
      </c>
      <c r="Z18" s="916">
        <v>16874778</v>
      </c>
      <c r="AA18" s="915">
        <v>14582.651697324</v>
      </c>
      <c r="AB18" s="916">
        <v>987</v>
      </c>
      <c r="AC18" s="915">
        <v>4.8449818371499997</v>
      </c>
      <c r="AD18" s="916">
        <v>1150797</v>
      </c>
      <c r="AE18" s="915">
        <v>452.36794161199992</v>
      </c>
      <c r="AF18" s="916">
        <v>3671</v>
      </c>
      <c r="AG18" s="915">
        <v>2.1959837373999997</v>
      </c>
      <c r="AH18" s="916">
        <v>1125685</v>
      </c>
      <c r="AI18" s="915">
        <v>165.37497586299997</v>
      </c>
      <c r="AJ18" s="916">
        <v>11308</v>
      </c>
      <c r="AK18" s="915">
        <v>3.6855525890000003</v>
      </c>
      <c r="AL18" s="916">
        <v>19167226</v>
      </c>
      <c r="AM18" s="915">
        <v>15211.121132962549</v>
      </c>
      <c r="AN18" s="916">
        <v>203300</v>
      </c>
      <c r="AO18" s="915">
        <v>127.72137318099995</v>
      </c>
      <c r="AP18" s="916">
        <v>75662</v>
      </c>
      <c r="AQ18" s="915">
        <v>13.699062046950003</v>
      </c>
      <c r="AR18" s="916">
        <v>51814</v>
      </c>
      <c r="AS18" s="915">
        <v>62.417299622000016</v>
      </c>
      <c r="AT18" s="916">
        <v>52147</v>
      </c>
      <c r="AU18" s="915">
        <v>36.746668945999993</v>
      </c>
      <c r="AV18" s="916">
        <v>31790</v>
      </c>
      <c r="AW18" s="915">
        <v>6.4437208139999997</v>
      </c>
      <c r="AX18" s="916" t="s">
        <v>598</v>
      </c>
      <c r="AY18" s="916">
        <v>135751</v>
      </c>
      <c r="AZ18" s="915">
        <v>105.607689382</v>
      </c>
      <c r="BA18" s="916">
        <v>21701199</v>
      </c>
      <c r="BB18" s="915">
        <v>16678.36048073565</v>
      </c>
      <c r="BC18" s="916">
        <v>1584816</v>
      </c>
      <c r="BD18" s="916">
        <v>20295617</v>
      </c>
      <c r="BE18" s="916">
        <v>615894</v>
      </c>
      <c r="BF18" s="916">
        <v>22496327</v>
      </c>
      <c r="BG18" s="916">
        <v>3014419</v>
      </c>
      <c r="BH18" s="916">
        <v>2071504</v>
      </c>
      <c r="BI18" s="915">
        <v>7006.7661438899995</v>
      </c>
      <c r="BJ18" s="916">
        <v>1189830</v>
      </c>
      <c r="BK18" s="916">
        <v>281211925</v>
      </c>
      <c r="BL18" s="915">
        <v>50946.827696114</v>
      </c>
      <c r="BM18" s="916">
        <v>115882015</v>
      </c>
      <c r="BN18" s="916">
        <v>10173</v>
      </c>
      <c r="BO18" s="916">
        <v>7577244</v>
      </c>
      <c r="BP18" s="915">
        <v>30127.073803494004</v>
      </c>
      <c r="BQ18" s="916">
        <v>8224614</v>
      </c>
      <c r="BR18" s="916">
        <v>11327</v>
      </c>
      <c r="BS18" s="916">
        <v>67106</v>
      </c>
      <c r="BT18" s="1405"/>
    </row>
    <row r="19" spans="1:73" s="198" customFormat="1" ht="12.2" customHeight="1">
      <c r="A19" s="627" t="s">
        <v>605</v>
      </c>
      <c r="B19" s="627">
        <v>1631575</v>
      </c>
      <c r="C19" s="913">
        <v>182214.84471537196</v>
      </c>
      <c r="D19" s="627">
        <v>17578</v>
      </c>
      <c r="E19" s="913">
        <v>759.15691033000007</v>
      </c>
      <c r="F19" s="912">
        <v>1649153</v>
      </c>
      <c r="G19" s="913">
        <v>182974.00162570196</v>
      </c>
      <c r="H19" s="627">
        <v>4931338</v>
      </c>
      <c r="I19" s="913">
        <v>28819.023698440003</v>
      </c>
      <c r="J19" s="627">
        <v>227826</v>
      </c>
      <c r="K19" s="913">
        <v>178.79371142800002</v>
      </c>
      <c r="L19" s="627">
        <v>1046</v>
      </c>
      <c r="M19" s="913">
        <v>1.9602138494000001</v>
      </c>
      <c r="N19" s="627">
        <v>1444596</v>
      </c>
      <c r="O19" s="913">
        <v>876.62284036399979</v>
      </c>
      <c r="P19" s="627">
        <v>49562</v>
      </c>
      <c r="Q19" s="913">
        <v>34.576012741400007</v>
      </c>
      <c r="R19" s="627">
        <v>538811</v>
      </c>
      <c r="S19" s="913">
        <v>258.23214437199999</v>
      </c>
      <c r="T19" s="627">
        <v>92550</v>
      </c>
      <c r="U19" s="913">
        <v>31.034446779700005</v>
      </c>
      <c r="V19" s="627">
        <v>2354391</v>
      </c>
      <c r="W19" s="913">
        <v>1381.2193695344997</v>
      </c>
      <c r="X19" s="913">
        <v>5581.8513007279998</v>
      </c>
      <c r="Y19" s="627" t="s">
        <v>605</v>
      </c>
      <c r="Z19" s="627">
        <v>18635757</v>
      </c>
      <c r="AA19" s="913">
        <v>15846.335855750001</v>
      </c>
      <c r="AB19" s="627">
        <v>954</v>
      </c>
      <c r="AC19" s="913">
        <v>4.0197432170000003</v>
      </c>
      <c r="AD19" s="627">
        <v>1269735</v>
      </c>
      <c r="AE19" s="913">
        <v>482.22485600099986</v>
      </c>
      <c r="AF19" s="627">
        <v>4500</v>
      </c>
      <c r="AG19" s="913">
        <v>2.8779939720000001</v>
      </c>
      <c r="AH19" s="627">
        <v>1123522</v>
      </c>
      <c r="AI19" s="913">
        <v>189.76868595200003</v>
      </c>
      <c r="AJ19" s="627">
        <v>15849</v>
      </c>
      <c r="AK19" s="913">
        <v>3.9309985693000007</v>
      </c>
      <c r="AL19" s="627">
        <v>21050317</v>
      </c>
      <c r="AM19" s="913">
        <v>16529.158133461304</v>
      </c>
      <c r="AN19" s="627">
        <v>194715</v>
      </c>
      <c r="AO19" s="913">
        <v>163.82266943500002</v>
      </c>
      <c r="AP19" s="627">
        <v>101978</v>
      </c>
      <c r="AQ19" s="913">
        <v>15.5511893998</v>
      </c>
      <c r="AR19" s="627">
        <v>58080</v>
      </c>
      <c r="AS19" s="913">
        <v>69.751516933000005</v>
      </c>
      <c r="AT19" s="627">
        <v>64231</v>
      </c>
      <c r="AU19" s="913">
        <v>43.671869610000002</v>
      </c>
      <c r="AV19" s="627">
        <v>23928</v>
      </c>
      <c r="AW19" s="913">
        <v>7.2761266720000002</v>
      </c>
      <c r="AX19" s="627" t="s">
        <v>605</v>
      </c>
      <c r="AY19" s="627">
        <v>146239</v>
      </c>
      <c r="AZ19" s="913">
        <v>120.69951321500001</v>
      </c>
      <c r="BA19" s="627">
        <v>23847640</v>
      </c>
      <c r="BB19" s="913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3">
        <v>6315.4485550249992</v>
      </c>
      <c r="BJ19" s="627">
        <v>1206319</v>
      </c>
      <c r="BK19" s="627">
        <v>300159480</v>
      </c>
      <c r="BL19" s="913">
        <v>55924.953044519003</v>
      </c>
      <c r="BM19" s="627">
        <v>118173444</v>
      </c>
      <c r="BN19" s="627">
        <v>10471</v>
      </c>
      <c r="BO19" s="627">
        <v>8204881</v>
      </c>
      <c r="BP19" s="913">
        <v>32375.65474546</v>
      </c>
      <c r="BQ19" s="627">
        <v>8786171</v>
      </c>
      <c r="BR19" s="627">
        <v>11558</v>
      </c>
      <c r="BS19" s="627">
        <v>68871</v>
      </c>
      <c r="BT19" s="1405"/>
    </row>
    <row r="20" spans="1:73" s="198" customFormat="1" ht="12.2" customHeight="1">
      <c r="A20" s="916" t="s">
        <v>606</v>
      </c>
      <c r="B20" s="916">
        <v>1830873</v>
      </c>
      <c r="C20" s="915">
        <v>209078.60645093705</v>
      </c>
      <c r="D20" s="916">
        <v>19728</v>
      </c>
      <c r="E20" s="915">
        <v>799.39725298899998</v>
      </c>
      <c r="F20" s="914">
        <v>1850601</v>
      </c>
      <c r="G20" s="915">
        <v>209878.00370392605</v>
      </c>
      <c r="H20" s="916">
        <v>6038689</v>
      </c>
      <c r="I20" s="915">
        <v>31865.877937165995</v>
      </c>
      <c r="J20" s="916">
        <v>262475</v>
      </c>
      <c r="K20" s="915">
        <v>211.19657756099994</v>
      </c>
      <c r="L20" s="916">
        <v>1256</v>
      </c>
      <c r="M20" s="915">
        <v>2.4366341518999994</v>
      </c>
      <c r="N20" s="916">
        <v>1468964</v>
      </c>
      <c r="O20" s="915">
        <v>877.33949270599999</v>
      </c>
      <c r="P20" s="916">
        <v>60429</v>
      </c>
      <c r="Q20" s="915">
        <v>42.53468897074999</v>
      </c>
      <c r="R20" s="916">
        <v>642047</v>
      </c>
      <c r="S20" s="915">
        <v>261.14753080799994</v>
      </c>
      <c r="T20" s="916">
        <v>123715</v>
      </c>
      <c r="U20" s="915">
        <v>39.488865898299998</v>
      </c>
      <c r="V20" s="916">
        <v>2558886</v>
      </c>
      <c r="W20" s="915">
        <v>1434.14379009595</v>
      </c>
      <c r="X20" s="915">
        <v>5753.3035608289993</v>
      </c>
      <c r="Y20" s="916" t="s">
        <v>606</v>
      </c>
      <c r="Z20" s="916">
        <v>19520551</v>
      </c>
      <c r="AA20" s="915">
        <v>16634.983391550006</v>
      </c>
      <c r="AB20" s="916">
        <v>1115</v>
      </c>
      <c r="AC20" s="915">
        <v>4.6580035878999997</v>
      </c>
      <c r="AD20" s="916">
        <v>1277945</v>
      </c>
      <c r="AE20" s="915">
        <v>487.69273977899996</v>
      </c>
      <c r="AF20" s="916">
        <v>6044</v>
      </c>
      <c r="AG20" s="915">
        <v>3.6473518647500001</v>
      </c>
      <c r="AH20" s="916">
        <v>1108004</v>
      </c>
      <c r="AI20" s="915">
        <v>196.09230325499996</v>
      </c>
      <c r="AJ20" s="916">
        <v>23689</v>
      </c>
      <c r="AK20" s="915">
        <v>5.4912655780000001</v>
      </c>
      <c r="AL20" s="916">
        <v>21937348</v>
      </c>
      <c r="AM20" s="915">
        <v>17332.565055614657</v>
      </c>
      <c r="AN20" s="916">
        <v>214554</v>
      </c>
      <c r="AO20" s="915">
        <v>135.37897272900003</v>
      </c>
      <c r="AP20" s="916">
        <v>156514</v>
      </c>
      <c r="AQ20" s="915">
        <v>22.629174642450003</v>
      </c>
      <c r="AR20" s="916">
        <v>59729</v>
      </c>
      <c r="AS20" s="915">
        <v>71.137446393999994</v>
      </c>
      <c r="AT20" s="916">
        <v>63500</v>
      </c>
      <c r="AU20" s="915">
        <v>45.892098024999996</v>
      </c>
      <c r="AV20" s="916">
        <v>36907</v>
      </c>
      <c r="AW20" s="915">
        <v>9.9048666710000006</v>
      </c>
      <c r="AX20" s="916" t="s">
        <v>606</v>
      </c>
      <c r="AY20" s="916">
        <v>160136</v>
      </c>
      <c r="AZ20" s="915">
        <v>126.93441109</v>
      </c>
      <c r="BA20" s="916">
        <v>25027438</v>
      </c>
      <c r="BB20" s="915">
        <v>19051.651404172055</v>
      </c>
      <c r="BC20" s="916">
        <v>1615051</v>
      </c>
      <c r="BD20" s="916">
        <v>20969416</v>
      </c>
      <c r="BE20" s="916">
        <v>687718</v>
      </c>
      <c r="BF20" s="916">
        <v>23272185</v>
      </c>
      <c r="BG20" s="916">
        <v>3153948</v>
      </c>
      <c r="BH20" s="916">
        <v>2251905</v>
      </c>
      <c r="BI20" s="915">
        <v>7994.533572719999</v>
      </c>
      <c r="BJ20" s="916">
        <v>1227722</v>
      </c>
      <c r="BK20" s="916">
        <v>292703255</v>
      </c>
      <c r="BL20" s="915">
        <v>56974.290798212991</v>
      </c>
      <c r="BM20" s="916">
        <v>120297345</v>
      </c>
      <c r="BN20" s="916">
        <v>11142</v>
      </c>
      <c r="BO20" s="916">
        <v>9505851</v>
      </c>
      <c r="BP20" s="915">
        <v>33303.144733825</v>
      </c>
      <c r="BQ20" s="916">
        <v>9215386</v>
      </c>
      <c r="BR20" s="916">
        <v>11698</v>
      </c>
      <c r="BS20" s="916">
        <v>71083</v>
      </c>
      <c r="BT20" s="1405"/>
    </row>
    <row r="21" spans="1:73" s="198" customFormat="1" ht="12.2" customHeight="1">
      <c r="A21" s="627" t="s">
        <v>599</v>
      </c>
      <c r="B21" s="627">
        <v>1843486</v>
      </c>
      <c r="C21" s="913">
        <v>218392.13196139701</v>
      </c>
      <c r="D21" s="627">
        <v>57109</v>
      </c>
      <c r="E21" s="913">
        <v>1346.1473418040002</v>
      </c>
      <c r="F21" s="912">
        <v>1900595</v>
      </c>
      <c r="G21" s="913">
        <v>219738.27930320101</v>
      </c>
      <c r="H21" s="627">
        <v>5321127</v>
      </c>
      <c r="I21" s="913">
        <v>35160.298842013006</v>
      </c>
      <c r="J21" s="627">
        <v>291786</v>
      </c>
      <c r="K21" s="913">
        <v>243.83185958500005</v>
      </c>
      <c r="L21" s="627">
        <v>1476</v>
      </c>
      <c r="M21" s="913">
        <v>3.1545182280500002</v>
      </c>
      <c r="N21" s="627">
        <v>1522326</v>
      </c>
      <c r="O21" s="913">
        <v>942.7292528119998</v>
      </c>
      <c r="P21" s="627">
        <v>64798</v>
      </c>
      <c r="Q21" s="913">
        <v>51.208268193400002</v>
      </c>
      <c r="R21" s="627">
        <v>640684</v>
      </c>
      <c r="S21" s="913">
        <v>282.05379577000002</v>
      </c>
      <c r="T21" s="627">
        <v>105379</v>
      </c>
      <c r="U21" s="913">
        <v>37.927549299950002</v>
      </c>
      <c r="V21" s="627">
        <v>2626449</v>
      </c>
      <c r="W21" s="913">
        <v>1560.9052438884</v>
      </c>
      <c r="X21" s="913">
        <v>5920.7138683730009</v>
      </c>
      <c r="Y21" s="627" t="s">
        <v>599</v>
      </c>
      <c r="Z21" s="627">
        <v>21050647</v>
      </c>
      <c r="AA21" s="913">
        <v>18039.646870317996</v>
      </c>
      <c r="AB21" s="627">
        <v>1147</v>
      </c>
      <c r="AC21" s="913">
        <v>5.0957079827000005</v>
      </c>
      <c r="AD21" s="627">
        <v>1306613</v>
      </c>
      <c r="AE21" s="913">
        <v>495.3973209359998</v>
      </c>
      <c r="AF21" s="627">
        <v>7066</v>
      </c>
      <c r="AG21" s="913">
        <v>4.5672898230999994</v>
      </c>
      <c r="AH21" s="627">
        <v>1177675</v>
      </c>
      <c r="AI21" s="913">
        <v>244.14694849999995</v>
      </c>
      <c r="AJ21" s="627">
        <v>20432</v>
      </c>
      <c r="AK21" s="913">
        <v>6.7931425747500001</v>
      </c>
      <c r="AL21" s="627">
        <v>23563580</v>
      </c>
      <c r="AM21" s="913">
        <v>18795.647280134544</v>
      </c>
      <c r="AN21" s="627">
        <v>220926</v>
      </c>
      <c r="AO21" s="913">
        <v>146.809643736</v>
      </c>
      <c r="AP21" s="627">
        <v>133095</v>
      </c>
      <c r="AQ21" s="913">
        <v>21.017112098499997</v>
      </c>
      <c r="AR21" s="627">
        <v>70081</v>
      </c>
      <c r="AS21" s="913">
        <v>83.064940000000007</v>
      </c>
      <c r="AT21" s="627">
        <v>77909</v>
      </c>
      <c r="AU21" s="913">
        <v>55.868615613000003</v>
      </c>
      <c r="AV21" s="627">
        <v>35088</v>
      </c>
      <c r="AW21" s="913">
        <v>9.2845008750000009</v>
      </c>
      <c r="AX21" s="627" t="s">
        <v>599</v>
      </c>
      <c r="AY21" s="627">
        <v>183078</v>
      </c>
      <c r="AZ21" s="913">
        <v>148.218056488</v>
      </c>
      <c r="BA21" s="627">
        <v>26727128</v>
      </c>
      <c r="BB21" s="913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3">
        <v>8092.6097477160001</v>
      </c>
      <c r="BJ21" s="627">
        <v>1266795</v>
      </c>
      <c r="BK21" s="627">
        <v>315091902</v>
      </c>
      <c r="BL21" s="913">
        <v>61757.500031471005</v>
      </c>
      <c r="BM21" s="627">
        <v>122928277</v>
      </c>
      <c r="BN21" s="627">
        <v>11932</v>
      </c>
      <c r="BO21" s="627">
        <v>9799608</v>
      </c>
      <c r="BP21" s="913">
        <v>33457.036483143005</v>
      </c>
      <c r="BQ21" s="627">
        <v>9646002</v>
      </c>
      <c r="BR21" s="627">
        <v>11923</v>
      </c>
      <c r="BS21" s="627">
        <v>73229</v>
      </c>
      <c r="BT21" s="1405"/>
    </row>
    <row r="22" spans="1:73" s="198" customFormat="1" ht="12.2" customHeight="1">
      <c r="A22" s="916" t="s">
        <v>607</v>
      </c>
      <c r="B22" s="916">
        <v>1893477</v>
      </c>
      <c r="C22" s="915">
        <v>207798.17410229697</v>
      </c>
      <c r="D22" s="916">
        <v>55443</v>
      </c>
      <c r="E22" s="915">
        <v>745.20533791499997</v>
      </c>
      <c r="F22" s="914">
        <v>1948920</v>
      </c>
      <c r="G22" s="915">
        <v>208543.37944021195</v>
      </c>
      <c r="H22" s="916">
        <v>6602193</v>
      </c>
      <c r="I22" s="915">
        <v>35798.515856337013</v>
      </c>
      <c r="J22" s="916">
        <v>296531</v>
      </c>
      <c r="K22" s="915">
        <v>252.61437881000003</v>
      </c>
      <c r="L22" s="916">
        <v>1255</v>
      </c>
      <c r="M22" s="915">
        <v>2.75120127845</v>
      </c>
      <c r="N22" s="916">
        <v>1552374</v>
      </c>
      <c r="O22" s="915">
        <v>936.35543347299983</v>
      </c>
      <c r="P22" s="916">
        <v>61311</v>
      </c>
      <c r="Q22" s="915">
        <v>49.022168378799989</v>
      </c>
      <c r="R22" s="916">
        <v>617865</v>
      </c>
      <c r="S22" s="915">
        <v>300.13100787699994</v>
      </c>
      <c r="T22" s="916">
        <v>101586</v>
      </c>
      <c r="U22" s="915">
        <v>38.530325761400007</v>
      </c>
      <c r="V22" s="916">
        <v>2630922</v>
      </c>
      <c r="W22" s="915">
        <v>1579.4045155786498</v>
      </c>
      <c r="X22" s="915">
        <v>6049.8686570349992</v>
      </c>
      <c r="Y22" s="916" t="s">
        <v>607</v>
      </c>
      <c r="Z22" s="916">
        <v>20939768</v>
      </c>
      <c r="AA22" s="915">
        <v>18053.121091290002</v>
      </c>
      <c r="AB22" s="916">
        <v>1248</v>
      </c>
      <c r="AC22" s="915">
        <v>14.699170446000002</v>
      </c>
      <c r="AD22" s="916">
        <v>1346096</v>
      </c>
      <c r="AE22" s="915">
        <v>502.96310156499999</v>
      </c>
      <c r="AF22" s="916">
        <v>8394</v>
      </c>
      <c r="AG22" s="915">
        <v>4.5449775720000005</v>
      </c>
      <c r="AH22" s="916">
        <v>1328343</v>
      </c>
      <c r="AI22" s="915">
        <v>286.53990391500002</v>
      </c>
      <c r="AJ22" s="916">
        <v>22017</v>
      </c>
      <c r="AK22" s="915">
        <v>8.3803138659999998</v>
      </c>
      <c r="AL22" s="916">
        <v>23645866</v>
      </c>
      <c r="AM22" s="915">
        <v>18870.248558654006</v>
      </c>
      <c r="AN22" s="916">
        <v>227955</v>
      </c>
      <c r="AO22" s="915">
        <v>151.98343367000001</v>
      </c>
      <c r="AP22" s="916">
        <v>127755</v>
      </c>
      <c r="AQ22" s="915">
        <v>23.469121592099995</v>
      </c>
      <c r="AR22" s="916">
        <v>72378</v>
      </c>
      <c r="AS22" s="915">
        <v>85.383409999999998</v>
      </c>
      <c r="AT22" s="916">
        <v>81809</v>
      </c>
      <c r="AU22" s="915">
        <v>56.853701402400006</v>
      </c>
      <c r="AV22" s="916">
        <v>39657</v>
      </c>
      <c r="AW22" s="915">
        <v>9.3306097710000007</v>
      </c>
      <c r="AX22" s="916" t="s">
        <v>607</v>
      </c>
      <c r="AY22" s="916">
        <v>193844</v>
      </c>
      <c r="AZ22" s="915">
        <v>151.5677211734</v>
      </c>
      <c r="BA22" s="916">
        <v>26826342</v>
      </c>
      <c r="BB22" s="915">
        <v>20776.673350668159</v>
      </c>
      <c r="BC22" s="916">
        <v>1655921</v>
      </c>
      <c r="BD22" s="916">
        <v>21670524</v>
      </c>
      <c r="BE22" s="916">
        <v>755644</v>
      </c>
      <c r="BF22" s="916">
        <v>24082089</v>
      </c>
      <c r="BG22" s="916">
        <v>3319668</v>
      </c>
      <c r="BH22" s="916">
        <v>2373928</v>
      </c>
      <c r="BI22" s="915">
        <v>8543.3671788089996</v>
      </c>
      <c r="BJ22" s="916">
        <v>1259967</v>
      </c>
      <c r="BK22" s="916">
        <v>316672662</v>
      </c>
      <c r="BL22" s="915">
        <v>62689.244892744995</v>
      </c>
      <c r="BM22" s="916">
        <v>125116223</v>
      </c>
      <c r="BN22" s="916">
        <v>12045</v>
      </c>
      <c r="BO22" s="916">
        <v>10660367</v>
      </c>
      <c r="BP22" s="915">
        <v>34078.592031386994</v>
      </c>
      <c r="BQ22" s="916">
        <v>10074110</v>
      </c>
      <c r="BR22" s="916">
        <v>12002</v>
      </c>
      <c r="BS22" s="916">
        <v>75737</v>
      </c>
      <c r="BT22" s="1405"/>
    </row>
    <row r="23" spans="1:73" s="198" customFormat="1" ht="12.2" customHeight="1">
      <c r="A23" s="627" t="s">
        <v>608</v>
      </c>
      <c r="B23" s="627">
        <v>1731805</v>
      </c>
      <c r="C23" s="913">
        <v>191535.45338249698</v>
      </c>
      <c r="D23" s="627">
        <v>49396</v>
      </c>
      <c r="E23" s="913">
        <v>749.07760358300004</v>
      </c>
      <c r="F23" s="912">
        <v>1781201</v>
      </c>
      <c r="G23" s="913">
        <v>192284.53098607998</v>
      </c>
      <c r="H23" s="627">
        <v>9340372</v>
      </c>
      <c r="I23" s="913">
        <v>32697.191086638995</v>
      </c>
      <c r="J23" s="627">
        <v>279061</v>
      </c>
      <c r="K23" s="913">
        <v>232.863871394</v>
      </c>
      <c r="L23" s="627">
        <v>1163</v>
      </c>
      <c r="M23" s="913">
        <v>2.2844918402500003</v>
      </c>
      <c r="N23" s="627">
        <v>1463934</v>
      </c>
      <c r="O23" s="913">
        <v>892.31313773099987</v>
      </c>
      <c r="P23" s="627">
        <v>61108</v>
      </c>
      <c r="Q23" s="913">
        <v>47.522934584399998</v>
      </c>
      <c r="R23" s="627">
        <v>585606</v>
      </c>
      <c r="S23" s="913">
        <v>301.37200114400002</v>
      </c>
      <c r="T23" s="627">
        <v>93210</v>
      </c>
      <c r="U23" s="913">
        <v>32.957571599800005</v>
      </c>
      <c r="V23" s="627">
        <v>2484082</v>
      </c>
      <c r="W23" s="913">
        <v>1509.3140082934499</v>
      </c>
      <c r="X23" s="913">
        <v>6174.0299929459998</v>
      </c>
      <c r="Y23" s="627" t="s">
        <v>608</v>
      </c>
      <c r="Z23" s="627">
        <v>20213897</v>
      </c>
      <c r="AA23" s="913">
        <v>17271.354298157006</v>
      </c>
      <c r="AB23" s="627">
        <v>1096</v>
      </c>
      <c r="AC23" s="913">
        <v>2.3757442868999998</v>
      </c>
      <c r="AD23" s="627">
        <v>1271595</v>
      </c>
      <c r="AE23" s="913">
        <v>482.12599397399993</v>
      </c>
      <c r="AF23" s="627">
        <v>7513</v>
      </c>
      <c r="AG23" s="913">
        <v>4.1737991000000001</v>
      </c>
      <c r="AH23" s="627">
        <v>1215028</v>
      </c>
      <c r="AI23" s="913">
        <v>297.45815780480001</v>
      </c>
      <c r="AJ23" s="627">
        <v>21032</v>
      </c>
      <c r="AK23" s="913">
        <v>5.9982650041999994</v>
      </c>
      <c r="AL23" s="627">
        <v>22730161</v>
      </c>
      <c r="AM23" s="913">
        <v>18063.486258326906</v>
      </c>
      <c r="AN23" s="627">
        <v>213872</v>
      </c>
      <c r="AO23" s="913">
        <v>145.554501348</v>
      </c>
      <c r="AP23" s="627">
        <v>113810</v>
      </c>
      <c r="AQ23" s="913">
        <v>19.926561623950001</v>
      </c>
      <c r="AR23" s="627">
        <v>71256</v>
      </c>
      <c r="AS23" s="913">
        <v>82.784013299999984</v>
      </c>
      <c r="AT23" s="627">
        <v>82084</v>
      </c>
      <c r="AU23" s="913">
        <v>63.551224380000008</v>
      </c>
      <c r="AV23" s="627">
        <v>39348</v>
      </c>
      <c r="AW23" s="913">
        <v>9.5667757600000005</v>
      </c>
      <c r="AX23" s="627" t="s">
        <v>608</v>
      </c>
      <c r="AY23" s="627">
        <v>192688</v>
      </c>
      <c r="AZ23" s="913">
        <v>155.90201343999999</v>
      </c>
      <c r="BA23" s="627">
        <v>25734613</v>
      </c>
      <c r="BB23" s="913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3">
        <v>8477.2987266489999</v>
      </c>
      <c r="BJ23" s="627">
        <v>1276553</v>
      </c>
      <c r="BK23" s="627">
        <v>301084915</v>
      </c>
      <c r="BL23" s="913">
        <v>60769.794497972012</v>
      </c>
      <c r="BM23" s="627">
        <v>131367394</v>
      </c>
      <c r="BN23" s="627">
        <v>12123</v>
      </c>
      <c r="BO23" s="627">
        <v>9064200</v>
      </c>
      <c r="BP23" s="913">
        <v>31385.247710336997</v>
      </c>
      <c r="BQ23" s="627">
        <v>10524787</v>
      </c>
      <c r="BR23" s="627">
        <v>12111</v>
      </c>
      <c r="BS23" s="627">
        <v>77806</v>
      </c>
      <c r="BT23" s="1405"/>
    </row>
    <row r="24" spans="1:73" s="198" customFormat="1" ht="12.2" customHeight="1">
      <c r="A24" s="916" t="s">
        <v>600</v>
      </c>
      <c r="B24" s="916">
        <v>1946786</v>
      </c>
      <c r="C24" s="915">
        <v>210520.79986431802</v>
      </c>
      <c r="D24" s="916">
        <v>45755</v>
      </c>
      <c r="E24" s="915">
        <v>818.51810823200003</v>
      </c>
      <c r="F24" s="914">
        <v>1992541</v>
      </c>
      <c r="G24" s="915">
        <v>211339.31797255002</v>
      </c>
      <c r="H24" s="916">
        <v>9824318</v>
      </c>
      <c r="I24" s="915">
        <v>36779.038994524992</v>
      </c>
      <c r="J24" s="916">
        <v>324524</v>
      </c>
      <c r="K24" s="915">
        <v>275.204915771</v>
      </c>
      <c r="L24" s="916">
        <v>1397</v>
      </c>
      <c r="M24" s="915">
        <v>2.68137101095</v>
      </c>
      <c r="N24" s="916">
        <v>1652260</v>
      </c>
      <c r="O24" s="915">
        <v>1027.8112647870003</v>
      </c>
      <c r="P24" s="916">
        <v>77972</v>
      </c>
      <c r="Q24" s="915">
        <v>59.608743653699996</v>
      </c>
      <c r="R24" s="916">
        <v>710002</v>
      </c>
      <c r="S24" s="915">
        <v>377.51808584499992</v>
      </c>
      <c r="T24" s="916">
        <v>107343</v>
      </c>
      <c r="U24" s="915">
        <v>40.357929040700007</v>
      </c>
      <c r="V24" s="916">
        <v>2873498</v>
      </c>
      <c r="W24" s="915">
        <v>1783.1823101083501</v>
      </c>
      <c r="X24" s="915">
        <v>6274.65618765</v>
      </c>
      <c r="Y24" s="916" t="s">
        <v>600</v>
      </c>
      <c r="Z24" s="916">
        <v>23329866</v>
      </c>
      <c r="AA24" s="915">
        <v>21027.199873841008</v>
      </c>
      <c r="AB24" s="916">
        <v>1343</v>
      </c>
      <c r="AC24" s="915">
        <v>2.5279279420000003</v>
      </c>
      <c r="AD24" s="916">
        <v>1466917</v>
      </c>
      <c r="AE24" s="915">
        <v>558.20598236499984</v>
      </c>
      <c r="AF24" s="916">
        <v>9847</v>
      </c>
      <c r="AG24" s="915">
        <v>5.5049250389999997</v>
      </c>
      <c r="AH24" s="916">
        <v>1496098</v>
      </c>
      <c r="AI24" s="915">
        <v>399.95486290899998</v>
      </c>
      <c r="AJ24" s="916">
        <v>24311</v>
      </c>
      <c r="AK24" s="915">
        <v>6.9353860460000005</v>
      </c>
      <c r="AL24" s="916">
        <v>26328382</v>
      </c>
      <c r="AM24" s="915">
        <v>22000.328958142007</v>
      </c>
      <c r="AN24" s="916">
        <v>238713</v>
      </c>
      <c r="AO24" s="915">
        <v>156.70558005999996</v>
      </c>
      <c r="AP24" s="916">
        <v>127008</v>
      </c>
      <c r="AQ24" s="915">
        <v>24.106935017450009</v>
      </c>
      <c r="AR24" s="916">
        <v>86415</v>
      </c>
      <c r="AS24" s="915">
        <v>111.14200999999998</v>
      </c>
      <c r="AT24" s="916">
        <v>95318</v>
      </c>
      <c r="AU24" s="915">
        <v>74.173274243499989</v>
      </c>
      <c r="AV24" s="916">
        <v>45725</v>
      </c>
      <c r="AW24" s="915">
        <v>11.859193227999999</v>
      </c>
      <c r="AX24" s="916" t="s">
        <v>600</v>
      </c>
      <c r="AY24" s="916">
        <v>227458</v>
      </c>
      <c r="AZ24" s="915">
        <v>197.17447747149998</v>
      </c>
      <c r="BA24" s="916">
        <v>29795059</v>
      </c>
      <c r="BB24" s="915">
        <v>24161.498260799308</v>
      </c>
      <c r="BC24" s="916">
        <v>1698741</v>
      </c>
      <c r="BD24" s="916">
        <v>22449847</v>
      </c>
      <c r="BE24" s="916">
        <v>811757</v>
      </c>
      <c r="BF24" s="916">
        <v>24960345</v>
      </c>
      <c r="BG24" s="916">
        <v>3472072</v>
      </c>
      <c r="BH24" s="916">
        <v>2601212</v>
      </c>
      <c r="BI24" s="915">
        <v>10371.052578296003</v>
      </c>
      <c r="BJ24" s="916">
        <v>1294485</v>
      </c>
      <c r="BK24" s="916">
        <v>348172496</v>
      </c>
      <c r="BL24" s="915">
        <v>67602.19642466199</v>
      </c>
      <c r="BM24" s="916">
        <v>141655715</v>
      </c>
      <c r="BN24" s="916">
        <v>12370</v>
      </c>
      <c r="BO24" s="916">
        <v>11201569</v>
      </c>
      <c r="BP24" s="915">
        <v>38227.88262335601</v>
      </c>
      <c r="BQ24" s="916">
        <v>11022742</v>
      </c>
      <c r="BR24" s="916">
        <v>12225</v>
      </c>
      <c r="BS24" s="916">
        <v>79254</v>
      </c>
      <c r="BT24" s="1405"/>
    </row>
    <row r="25" spans="1:73" s="198" customFormat="1" ht="12.2" customHeight="1">
      <c r="A25" s="627" t="s">
        <v>609</v>
      </c>
      <c r="B25" s="627">
        <v>1356335</v>
      </c>
      <c r="C25" s="913">
        <v>169037.33358036005</v>
      </c>
      <c r="D25" s="627">
        <v>40309</v>
      </c>
      <c r="E25" s="913">
        <v>981.61180010400005</v>
      </c>
      <c r="F25" s="912">
        <v>1396644</v>
      </c>
      <c r="G25" s="913">
        <v>170018.94538046405</v>
      </c>
      <c r="H25" s="627">
        <v>14087179</v>
      </c>
      <c r="I25" s="913">
        <v>37861.543465827999</v>
      </c>
      <c r="J25" s="627">
        <v>293404</v>
      </c>
      <c r="K25" s="913">
        <v>257.96496408600007</v>
      </c>
      <c r="L25" s="627">
        <v>1325</v>
      </c>
      <c r="M25" s="913">
        <v>2.2972715481500003</v>
      </c>
      <c r="N25" s="627">
        <v>1195301</v>
      </c>
      <c r="O25" s="913">
        <v>800.74781270999995</v>
      </c>
      <c r="P25" s="627">
        <v>59872</v>
      </c>
      <c r="Q25" s="913">
        <v>41.382026771599996</v>
      </c>
      <c r="R25" s="627">
        <v>707910</v>
      </c>
      <c r="S25" s="913">
        <v>398.11976635600001</v>
      </c>
      <c r="T25" s="627">
        <v>78796</v>
      </c>
      <c r="U25" s="913">
        <v>34.052402962049996</v>
      </c>
      <c r="V25" s="627">
        <v>2336608</v>
      </c>
      <c r="W25" s="913">
        <v>1534.5642444338</v>
      </c>
      <c r="X25" s="913">
        <v>6259.9313524200006</v>
      </c>
      <c r="Y25" s="627" t="s">
        <v>609</v>
      </c>
      <c r="Z25" s="627">
        <v>20861492</v>
      </c>
      <c r="AA25" s="913">
        <v>19348.043521211999</v>
      </c>
      <c r="AB25" s="627">
        <v>1329</v>
      </c>
      <c r="AC25" s="913">
        <v>2.8606041070000003</v>
      </c>
      <c r="AD25" s="627">
        <v>1082650</v>
      </c>
      <c r="AE25" s="913">
        <v>447.70696086800007</v>
      </c>
      <c r="AF25" s="627">
        <v>8564</v>
      </c>
      <c r="AG25" s="913">
        <v>4.2394983829000008</v>
      </c>
      <c r="AH25" s="627">
        <v>1459809</v>
      </c>
      <c r="AI25" s="913">
        <v>440.24812176300014</v>
      </c>
      <c r="AJ25" s="627">
        <v>19555</v>
      </c>
      <c r="AK25" s="913">
        <v>5.4368863650000003</v>
      </c>
      <c r="AL25" s="627">
        <v>23433399</v>
      </c>
      <c r="AM25" s="913">
        <v>20248.535592697903</v>
      </c>
      <c r="AN25" s="627">
        <v>233063</v>
      </c>
      <c r="AO25" s="913">
        <v>154.41698926500004</v>
      </c>
      <c r="AP25" s="627">
        <v>98047</v>
      </c>
      <c r="AQ25" s="913">
        <v>19.165158691149998</v>
      </c>
      <c r="AR25" s="627">
        <v>70602</v>
      </c>
      <c r="AS25" s="913">
        <v>86.238890000000012</v>
      </c>
      <c r="AT25" s="627">
        <v>61388</v>
      </c>
      <c r="AU25" s="913">
        <v>50.316289002699996</v>
      </c>
      <c r="AV25" s="627">
        <v>48085</v>
      </c>
      <c r="AW25" s="913">
        <v>13.765987857999999</v>
      </c>
      <c r="AX25" s="627" t="s">
        <v>609</v>
      </c>
      <c r="AY25" s="627">
        <v>180075</v>
      </c>
      <c r="AZ25" s="913">
        <v>150.3211668607</v>
      </c>
      <c r="BA25" s="627">
        <v>26281192</v>
      </c>
      <c r="BB25" s="913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3">
        <v>9367.8447470970004</v>
      </c>
      <c r="BJ25" s="627">
        <v>1290393</v>
      </c>
      <c r="BK25" s="627">
        <v>335660433</v>
      </c>
      <c r="BL25" s="913">
        <v>71576.622739252998</v>
      </c>
      <c r="BM25" s="627">
        <v>138401212</v>
      </c>
      <c r="BN25" s="627">
        <v>12462</v>
      </c>
      <c r="BO25" s="627">
        <v>11934477</v>
      </c>
      <c r="BP25" s="913">
        <v>35069.726951644996</v>
      </c>
      <c r="BQ25" s="627">
        <v>11453139</v>
      </c>
      <c r="BR25" s="627">
        <v>12259</v>
      </c>
      <c r="BS25" s="627">
        <v>80276</v>
      </c>
      <c r="BT25" s="1405"/>
    </row>
    <row r="26" spans="1:73" s="198" customFormat="1" ht="12.2" customHeight="1">
      <c r="A26" s="916" t="s">
        <v>610</v>
      </c>
      <c r="B26" s="916">
        <v>1527441</v>
      </c>
      <c r="C26" s="915">
        <v>199560.20610272797</v>
      </c>
      <c r="D26" s="916">
        <v>39193</v>
      </c>
      <c r="E26" s="915">
        <v>758.93584428000008</v>
      </c>
      <c r="F26" s="914">
        <v>1566634</v>
      </c>
      <c r="G26" s="915">
        <v>200319.14194700797</v>
      </c>
      <c r="H26" s="916">
        <v>21631065</v>
      </c>
      <c r="I26" s="915">
        <v>47188.166233674994</v>
      </c>
      <c r="J26" s="916">
        <v>299079</v>
      </c>
      <c r="K26" s="915">
        <v>276.59281992299998</v>
      </c>
      <c r="L26" s="916">
        <v>1042</v>
      </c>
      <c r="M26" s="915">
        <v>2.3016857862500002</v>
      </c>
      <c r="N26" s="916">
        <v>1685505</v>
      </c>
      <c r="O26" s="915">
        <v>874.07304315199985</v>
      </c>
      <c r="P26" s="916">
        <v>60065</v>
      </c>
      <c r="Q26" s="915">
        <v>33.561195093649999</v>
      </c>
      <c r="R26" s="916">
        <v>701454</v>
      </c>
      <c r="S26" s="915">
        <v>482.96549682400013</v>
      </c>
      <c r="T26" s="916">
        <v>91412</v>
      </c>
      <c r="U26" s="915">
        <v>38.87336981835</v>
      </c>
      <c r="V26" s="916">
        <v>2838557</v>
      </c>
      <c r="W26" s="915">
        <v>1708.3676105972499</v>
      </c>
      <c r="X26" s="915">
        <v>6413.9504930780004</v>
      </c>
      <c r="Y26" s="916" t="s">
        <v>610</v>
      </c>
      <c r="Z26" s="916">
        <v>23795911</v>
      </c>
      <c r="AA26" s="915">
        <v>21176.144691160003</v>
      </c>
      <c r="AB26" s="916">
        <v>1205</v>
      </c>
      <c r="AC26" s="915">
        <v>2.9115620679999998</v>
      </c>
      <c r="AD26" s="916">
        <v>2046777</v>
      </c>
      <c r="AE26" s="915">
        <v>654.32850171500002</v>
      </c>
      <c r="AF26" s="916">
        <v>9441</v>
      </c>
      <c r="AG26" s="915">
        <v>3.4379580171999997</v>
      </c>
      <c r="AH26" s="916">
        <v>1460946</v>
      </c>
      <c r="AI26" s="915">
        <v>608.38103590400021</v>
      </c>
      <c r="AJ26" s="916">
        <v>25318</v>
      </c>
      <c r="AK26" s="915">
        <v>6.7985235499999996</v>
      </c>
      <c r="AL26" s="916">
        <v>27339598</v>
      </c>
      <c r="AM26" s="915">
        <v>22452.0022724142</v>
      </c>
      <c r="AN26" s="916">
        <v>296549</v>
      </c>
      <c r="AO26" s="915">
        <v>191.52176767200004</v>
      </c>
      <c r="AP26" s="916">
        <v>97962</v>
      </c>
      <c r="AQ26" s="915">
        <v>19.391889520850008</v>
      </c>
      <c r="AR26" s="916">
        <v>96693</v>
      </c>
      <c r="AS26" s="915">
        <v>95.321969999999993</v>
      </c>
      <c r="AT26" s="916">
        <v>82928</v>
      </c>
      <c r="AU26" s="915">
        <v>62.726232075599995</v>
      </c>
      <c r="AV26" s="916">
        <v>52796</v>
      </c>
      <c r="AW26" s="915">
        <v>16.451610768999998</v>
      </c>
      <c r="AX26" s="916" t="s">
        <v>610</v>
      </c>
      <c r="AY26" s="916">
        <v>232417</v>
      </c>
      <c r="AZ26" s="915">
        <v>174.4998128446</v>
      </c>
      <c r="BA26" s="916">
        <v>30805083</v>
      </c>
      <c r="BB26" s="915">
        <v>24545.783353048901</v>
      </c>
      <c r="BC26" s="916">
        <v>1719832</v>
      </c>
      <c r="BD26" s="916">
        <v>23041234</v>
      </c>
      <c r="BE26" s="916">
        <v>873977</v>
      </c>
      <c r="BF26" s="916">
        <v>25635043</v>
      </c>
      <c r="BG26" s="916">
        <v>3560387</v>
      </c>
      <c r="BH26" s="916">
        <v>2905968</v>
      </c>
      <c r="BI26" s="915">
        <v>11384.415372759</v>
      </c>
      <c r="BJ26" s="916">
        <v>1320408</v>
      </c>
      <c r="BK26" s="916">
        <v>405077304</v>
      </c>
      <c r="BL26" s="915">
        <v>84333.352454326305</v>
      </c>
      <c r="BM26" s="916">
        <v>144342786</v>
      </c>
      <c r="BN26" s="916">
        <v>12643</v>
      </c>
      <c r="BO26" s="916">
        <v>10561049</v>
      </c>
      <c r="BP26" s="915">
        <v>34348.952381334006</v>
      </c>
      <c r="BQ26" s="916">
        <v>11789053</v>
      </c>
      <c r="BR26" s="916">
        <v>12270</v>
      </c>
      <c r="BS26" s="916">
        <v>81911</v>
      </c>
      <c r="BT26" s="1405"/>
    </row>
    <row r="27" spans="1:73" s="198" customFormat="1" ht="12.2" customHeight="1">
      <c r="A27" s="627" t="s">
        <v>601</v>
      </c>
      <c r="B27" s="627">
        <v>2042495</v>
      </c>
      <c r="C27" s="913">
        <v>269010.85178074799</v>
      </c>
      <c r="D27" s="627">
        <v>45642</v>
      </c>
      <c r="E27" s="913">
        <v>1317.820072317</v>
      </c>
      <c r="F27" s="912">
        <v>2088137</v>
      </c>
      <c r="G27" s="913">
        <v>270328.67185306497</v>
      </c>
      <c r="H27" s="627">
        <v>37096243</v>
      </c>
      <c r="I27" s="913">
        <v>52932.100861832012</v>
      </c>
      <c r="J27" s="627">
        <v>318301</v>
      </c>
      <c r="K27" s="913">
        <v>306.29480144300004</v>
      </c>
      <c r="L27" s="627">
        <v>1160</v>
      </c>
      <c r="M27" s="913">
        <v>2.4797100416500002</v>
      </c>
      <c r="N27" s="627">
        <v>1492645</v>
      </c>
      <c r="O27" s="913">
        <v>1020.4898334930002</v>
      </c>
      <c r="P27" s="627">
        <v>80871</v>
      </c>
      <c r="Q27" s="913">
        <v>40.139750775199992</v>
      </c>
      <c r="R27" s="627">
        <v>708456</v>
      </c>
      <c r="S27" s="913">
        <v>521.27255663899996</v>
      </c>
      <c r="T27" s="627">
        <v>99909</v>
      </c>
      <c r="U27" s="913">
        <v>44.265435306499995</v>
      </c>
      <c r="V27" s="627">
        <v>2701342</v>
      </c>
      <c r="W27" s="913">
        <v>1934.94208769835</v>
      </c>
      <c r="X27" s="913">
        <v>6452.2631663700004</v>
      </c>
      <c r="Y27" s="627" t="s">
        <v>601</v>
      </c>
      <c r="Z27" s="627">
        <v>22577914</v>
      </c>
      <c r="AA27" s="913">
        <v>20437.273543086998</v>
      </c>
      <c r="AB27" s="627">
        <v>1018</v>
      </c>
      <c r="AC27" s="913">
        <v>2.510466981</v>
      </c>
      <c r="AD27" s="627">
        <v>1392956</v>
      </c>
      <c r="AE27" s="913">
        <v>586.95548543400014</v>
      </c>
      <c r="AF27" s="627">
        <v>11617</v>
      </c>
      <c r="AG27" s="913">
        <v>4.7335773559999996</v>
      </c>
      <c r="AH27" s="627">
        <v>1454984</v>
      </c>
      <c r="AI27" s="913">
        <v>659.00981477200014</v>
      </c>
      <c r="AJ27" s="627">
        <v>32252</v>
      </c>
      <c r="AK27" s="913">
        <v>8.3313576950000012</v>
      </c>
      <c r="AL27" s="627">
        <v>25470741</v>
      </c>
      <c r="AM27" s="913">
        <v>21698.814245324997</v>
      </c>
      <c r="AN27" s="627">
        <v>242769</v>
      </c>
      <c r="AO27" s="913">
        <v>168.85925992500003</v>
      </c>
      <c r="AP27" s="627">
        <v>115504</v>
      </c>
      <c r="AQ27" s="913">
        <v>22.819237187150001</v>
      </c>
      <c r="AR27" s="627">
        <v>70722</v>
      </c>
      <c r="AS27" s="913">
        <v>87.144440000000017</v>
      </c>
      <c r="AT27" s="627">
        <v>77381</v>
      </c>
      <c r="AU27" s="913">
        <v>60.751688769299989</v>
      </c>
      <c r="AV27" s="627">
        <v>49036</v>
      </c>
      <c r="AW27" s="913">
        <v>14.830543633000001</v>
      </c>
      <c r="AX27" s="627" t="s">
        <v>601</v>
      </c>
      <c r="AY27" s="627">
        <v>197139</v>
      </c>
      <c r="AZ27" s="913">
        <v>162.72667240229998</v>
      </c>
      <c r="BA27" s="627">
        <v>28727495</v>
      </c>
      <c r="BB27" s="913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3">
        <v>10452.027802859999</v>
      </c>
      <c r="BJ27" s="627">
        <v>1377616</v>
      </c>
      <c r="BK27" s="627">
        <v>398129176</v>
      </c>
      <c r="BL27" s="913">
        <v>78586.183585780003</v>
      </c>
      <c r="BM27" s="627">
        <v>152462267</v>
      </c>
      <c r="BN27" s="627">
        <v>12930</v>
      </c>
      <c r="BO27" s="627">
        <v>13325444</v>
      </c>
      <c r="BP27" s="913">
        <v>38837.755577876022</v>
      </c>
      <c r="BQ27" s="627">
        <v>12202370</v>
      </c>
      <c r="BR27" s="627">
        <v>12337</v>
      </c>
      <c r="BS27" s="627">
        <v>82098</v>
      </c>
      <c r="BT27" s="1405"/>
    </row>
    <row r="28" spans="1:73" s="198" customFormat="1" ht="12.2" customHeight="1">
      <c r="A28" s="1349" t="s">
        <v>2160</v>
      </c>
      <c r="B28" s="1349">
        <f>B29+B30+B31+B32+B33+B34+B35+B36+B37+B38+B39+B40</f>
        <v>22051673</v>
      </c>
      <c r="C28" s="1350">
        <f t="shared" ref="C28:W28" si="3">C29+C30+C31+C32+C33+C34+C35+C36+C37+C38+C39+C40</f>
        <v>2560438.2513423832</v>
      </c>
      <c r="D28" s="1535">
        <f t="shared" si="3"/>
        <v>298366</v>
      </c>
      <c r="E28" s="1350">
        <f t="shared" si="3"/>
        <v>6825.6877742659999</v>
      </c>
      <c r="F28" s="1535">
        <f t="shared" si="3"/>
        <v>22350039</v>
      </c>
      <c r="G28" s="1350">
        <f t="shared" si="3"/>
        <v>2567263.9391166489</v>
      </c>
      <c r="H28" s="1634">
        <f>H29+H30+H31+H32+H33+H34+H35+H36+H37+H38+H39+H40</f>
        <v>185601004</v>
      </c>
      <c r="I28" s="1350">
        <f t="shared" si="3"/>
        <v>575743.87912449497</v>
      </c>
      <c r="J28" s="1535">
        <f t="shared" si="3"/>
        <v>5535126</v>
      </c>
      <c r="K28" s="1350">
        <f t="shared" si="3"/>
        <v>5684.4229899359998</v>
      </c>
      <c r="L28" s="1349">
        <f t="shared" si="3"/>
        <v>32269</v>
      </c>
      <c r="M28" s="1349">
        <f t="shared" si="3"/>
        <v>58.300769251000006</v>
      </c>
      <c r="N28" s="1349">
        <f t="shared" si="3"/>
        <v>22368746</v>
      </c>
      <c r="O28" s="1350">
        <f t="shared" si="3"/>
        <v>13326.307397372999</v>
      </c>
      <c r="P28" s="1349">
        <f t="shared" si="3"/>
        <v>1522495</v>
      </c>
      <c r="Q28" s="1350">
        <f t="shared" si="3"/>
        <v>1377.65658089868</v>
      </c>
      <c r="R28" s="1349">
        <f t="shared" si="3"/>
        <v>9143604</v>
      </c>
      <c r="S28" s="1350">
        <f t="shared" si="3"/>
        <v>4548.9042892340003</v>
      </c>
      <c r="T28" s="1349">
        <f t="shared" si="3"/>
        <v>1540947</v>
      </c>
      <c r="U28" s="1350">
        <f t="shared" si="3"/>
        <v>629.00407213825997</v>
      </c>
      <c r="V28" s="1349">
        <f t="shared" si="3"/>
        <v>40143187</v>
      </c>
      <c r="W28" s="1350">
        <f t="shared" si="3"/>
        <v>25624.596098830942</v>
      </c>
      <c r="X28" s="1350">
        <f>X40</f>
        <v>7507.0998574979994</v>
      </c>
      <c r="Y28" s="1349" t="s">
        <v>2160</v>
      </c>
      <c r="Z28" s="1349">
        <f t="shared" ref="Z28:AW28" si="4">Z29+Z30+Z31+Z32+Z33+Z34+Z35+Z36+Z37+Z38+Z39+Z40</f>
        <v>288240242</v>
      </c>
      <c r="AA28" s="1350">
        <f t="shared" si="4"/>
        <v>295272.32001764502</v>
      </c>
      <c r="AB28" s="1349">
        <f t="shared" si="4"/>
        <v>43588</v>
      </c>
      <c r="AC28" s="1350">
        <f t="shared" si="4"/>
        <v>91.441976603099988</v>
      </c>
      <c r="AD28" s="1349">
        <f t="shared" si="4"/>
        <v>21168832</v>
      </c>
      <c r="AE28" s="1349">
        <f t="shared" si="4"/>
        <v>7795.3005784440002</v>
      </c>
      <c r="AF28" s="1349">
        <f t="shared" si="4"/>
        <v>287315</v>
      </c>
      <c r="AG28" s="1349">
        <f t="shared" si="4"/>
        <v>158.35927568939999</v>
      </c>
      <c r="AH28" s="1349">
        <f t="shared" si="4"/>
        <v>22155076</v>
      </c>
      <c r="AI28" s="1350">
        <f t="shared" si="4"/>
        <v>4000.2566246310002</v>
      </c>
      <c r="AJ28" s="1349">
        <f t="shared" si="4"/>
        <v>680047</v>
      </c>
      <c r="AK28" s="1541">
        <f t="shared" si="4"/>
        <v>184.41482989099998</v>
      </c>
      <c r="AL28" s="1349">
        <f t="shared" si="4"/>
        <v>332575100</v>
      </c>
      <c r="AM28" s="1350">
        <f t="shared" si="4"/>
        <v>307502.09330290352</v>
      </c>
      <c r="AN28" s="1349">
        <f t="shared" si="4"/>
        <v>3546881</v>
      </c>
      <c r="AO28" s="1350">
        <f t="shared" si="4"/>
        <v>2232.7237356689998</v>
      </c>
      <c r="AP28" s="1349">
        <f t="shared" si="4"/>
        <v>1583371</v>
      </c>
      <c r="AQ28" s="1349">
        <f t="shared" si="4"/>
        <v>445.14578276359998</v>
      </c>
      <c r="AR28" s="1349">
        <f t="shared" si="4"/>
        <v>1139587</v>
      </c>
      <c r="AS28" s="1350">
        <f t="shared" si="4"/>
        <v>1295.7154900000003</v>
      </c>
      <c r="AT28" s="1349">
        <f t="shared" si="4"/>
        <v>1260346</v>
      </c>
      <c r="AU28" s="1350">
        <f t="shared" si="4"/>
        <v>1031.81594416695</v>
      </c>
      <c r="AV28" s="1349">
        <f t="shared" si="4"/>
        <v>741131</v>
      </c>
      <c r="AW28" s="1350">
        <f t="shared" si="4"/>
        <v>282.48465722899999</v>
      </c>
      <c r="AX28" s="1349" t="s">
        <v>2160</v>
      </c>
      <c r="AY28" s="1349">
        <f t="shared" ref="AY28:BB28" si="5">AY29+AY30+AY31+AY32+AY33+AY34+AY35+AY36+AY37+AY38+AY39+AY40</f>
        <v>3141064</v>
      </c>
      <c r="AZ28" s="1350">
        <f t="shared" si="5"/>
        <v>2610.0160913959503</v>
      </c>
      <c r="BA28" s="1349">
        <f t="shared" si="5"/>
        <v>380989603</v>
      </c>
      <c r="BB28" s="1350">
        <f t="shared" si="5"/>
        <v>338414.57501156308</v>
      </c>
      <c r="BC28" s="1349">
        <f>BC40</f>
        <v>1978196</v>
      </c>
      <c r="BD28" s="1540">
        <f>BD40</f>
        <v>27623986</v>
      </c>
      <c r="BE28" s="1540">
        <f>BE40</f>
        <v>1869559</v>
      </c>
      <c r="BF28" s="1349">
        <f t="shared" ref="BF28:BG28" si="6">BF40</f>
        <v>31471741</v>
      </c>
      <c r="BG28" s="1349">
        <f t="shared" si="6"/>
        <v>5355586</v>
      </c>
      <c r="BH28" s="1349">
        <f t="shared" ref="BH28:BI28" si="7">BH29+BH30+BH31+BH32+BH33+BH34+BH35+BH36+BH37+BH38+BH39+BH40</f>
        <v>54039568</v>
      </c>
      <c r="BI28" s="1350">
        <f t="shared" si="7"/>
        <v>224957.96134032117</v>
      </c>
      <c r="BJ28" s="1349">
        <f>BJ40</f>
        <v>1515665</v>
      </c>
      <c r="BK28" s="1349">
        <f t="shared" ref="BK28:BL28" si="8">BK29+BK30+BK31+BK32+BK33+BK34+BK35+BK36+BK37+BK38+BK39+BK40</f>
        <v>4769246590</v>
      </c>
      <c r="BL28" s="1350">
        <f t="shared" si="8"/>
        <v>990004.04799868248</v>
      </c>
      <c r="BM28" s="1349">
        <f>BM40</f>
        <v>178639642</v>
      </c>
      <c r="BN28" s="1349">
        <f>BN40</f>
        <v>14300</v>
      </c>
      <c r="BO28" s="1349">
        <f t="shared" ref="BO28:BP28" si="9">BO29+BO30+BO31+BO32+BO33+BO34+BO35+BO36+BO37+BO38+BO39+BO40</f>
        <v>162287061</v>
      </c>
      <c r="BP28" s="1350">
        <f t="shared" si="9"/>
        <v>564845.24125884299</v>
      </c>
      <c r="BQ28" s="1349">
        <f>BQ40</f>
        <v>16073962</v>
      </c>
      <c r="BR28" s="1349">
        <f>BR40</f>
        <v>13036</v>
      </c>
      <c r="BS28" s="1349">
        <f>BS40</f>
        <v>101341</v>
      </c>
    </row>
    <row r="29" spans="1:73" s="198" customFormat="1" ht="12.2" customHeight="1">
      <c r="A29" s="627" t="s">
        <v>603</v>
      </c>
      <c r="B29" s="627">
        <v>1235753</v>
      </c>
      <c r="C29" s="913">
        <v>164576.45775991795</v>
      </c>
      <c r="D29" s="627">
        <v>36053</v>
      </c>
      <c r="E29" s="913">
        <v>579.05490550700006</v>
      </c>
      <c r="F29" s="627">
        <v>1271806</v>
      </c>
      <c r="G29" s="913">
        <v>165155.51266542493</v>
      </c>
      <c r="H29" s="627">
        <v>18032049</v>
      </c>
      <c r="I29" s="913">
        <v>43678.712935484989</v>
      </c>
      <c r="J29" s="627">
        <v>294229</v>
      </c>
      <c r="K29" s="913">
        <v>300.588309487</v>
      </c>
      <c r="L29" s="627">
        <v>847</v>
      </c>
      <c r="M29" s="913">
        <v>1.9677314247499997</v>
      </c>
      <c r="N29" s="627">
        <v>1132758</v>
      </c>
      <c r="O29" s="913">
        <v>764.40335136499993</v>
      </c>
      <c r="P29" s="627">
        <v>64148</v>
      </c>
      <c r="Q29" s="913">
        <v>40.001898201599992</v>
      </c>
      <c r="R29" s="627">
        <v>667093</v>
      </c>
      <c r="S29" s="913">
        <v>338.28088036700001</v>
      </c>
      <c r="T29" s="627">
        <v>86982</v>
      </c>
      <c r="U29" s="913">
        <v>41.314262066199987</v>
      </c>
      <c r="V29" s="627">
        <v>2246057</v>
      </c>
      <c r="W29" s="913">
        <v>1486.5564329115498</v>
      </c>
      <c r="X29" s="913">
        <v>6333.6870533660003</v>
      </c>
      <c r="Y29" s="627" t="s">
        <v>603</v>
      </c>
      <c r="Z29" s="627">
        <v>20138764</v>
      </c>
      <c r="AA29" s="913">
        <v>20998.805196596993</v>
      </c>
      <c r="AB29" s="627">
        <v>1014</v>
      </c>
      <c r="AC29" s="913">
        <v>2.7403223640000007</v>
      </c>
      <c r="AD29" s="627">
        <v>1133274</v>
      </c>
      <c r="AE29" s="913">
        <v>462.15950501500009</v>
      </c>
      <c r="AF29" s="627">
        <v>13333</v>
      </c>
      <c r="AG29" s="913">
        <v>3.6725846579999999</v>
      </c>
      <c r="AH29" s="627">
        <v>1472570</v>
      </c>
      <c r="AI29" s="913">
        <v>308.47598892999997</v>
      </c>
      <c r="AJ29" s="627">
        <v>32645</v>
      </c>
      <c r="AK29" s="913">
        <v>8.0919102790000004</v>
      </c>
      <c r="AL29" s="627">
        <v>22791600</v>
      </c>
      <c r="AM29" s="913">
        <v>21783.945507842993</v>
      </c>
      <c r="AN29" s="627">
        <v>297771</v>
      </c>
      <c r="AO29" s="913">
        <v>206.25381715699999</v>
      </c>
      <c r="AP29" s="627">
        <v>78911</v>
      </c>
      <c r="AQ29" s="913">
        <v>20.347541959699999</v>
      </c>
      <c r="AR29" s="627">
        <v>71808</v>
      </c>
      <c r="AS29" s="913">
        <v>86.600750000000005</v>
      </c>
      <c r="AT29" s="627">
        <v>61708</v>
      </c>
      <c r="AU29" s="913">
        <v>56.490720589700011</v>
      </c>
      <c r="AV29" s="627">
        <v>54390</v>
      </c>
      <c r="AW29" s="913">
        <v>20.574379321999999</v>
      </c>
      <c r="AX29" s="627" t="s">
        <v>603</v>
      </c>
      <c r="AY29" s="627">
        <v>187906</v>
      </c>
      <c r="AZ29" s="913">
        <v>163.66584991170001</v>
      </c>
      <c r="BA29" s="627">
        <v>25602245</v>
      </c>
      <c r="BB29" s="913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3">
        <v>12768.772168597019</v>
      </c>
      <c r="BJ29" s="627">
        <v>1395455</v>
      </c>
      <c r="BK29" s="627">
        <v>381554769</v>
      </c>
      <c r="BL29" s="913">
        <v>77645.904801523386</v>
      </c>
      <c r="BM29" s="627">
        <v>156026369</v>
      </c>
      <c r="BN29" s="627">
        <v>13086</v>
      </c>
      <c r="BO29" s="627">
        <v>11150939</v>
      </c>
      <c r="BP29" s="913">
        <v>32523.180197034995</v>
      </c>
      <c r="BQ29" s="627">
        <v>12360576</v>
      </c>
      <c r="BR29" s="627">
        <v>12367</v>
      </c>
      <c r="BS29" s="627">
        <v>82449</v>
      </c>
    </row>
    <row r="30" spans="1:73" s="198" customFormat="1" ht="12.2" customHeight="1">
      <c r="A30" s="916" t="s">
        <v>604</v>
      </c>
      <c r="B30" s="916">
        <v>1579424</v>
      </c>
      <c r="C30" s="915">
        <v>186297.57348331407</v>
      </c>
      <c r="D30" s="916">
        <v>34371</v>
      </c>
      <c r="E30" s="915">
        <v>501.17102826299998</v>
      </c>
      <c r="F30" s="916">
        <v>1613795</v>
      </c>
      <c r="G30" s="915">
        <v>186798.74451157707</v>
      </c>
      <c r="H30" s="916">
        <v>7390816</v>
      </c>
      <c r="I30" s="915">
        <v>43265.959765079009</v>
      </c>
      <c r="J30" s="916">
        <v>325301</v>
      </c>
      <c r="K30" s="915">
        <v>310.13119354400004</v>
      </c>
      <c r="L30" s="916">
        <v>1231</v>
      </c>
      <c r="M30" s="915">
        <v>2.9093899204500002</v>
      </c>
      <c r="N30" s="916">
        <v>1514289</v>
      </c>
      <c r="O30" s="915">
        <v>910.93181396099988</v>
      </c>
      <c r="P30" s="916">
        <v>83055</v>
      </c>
      <c r="Q30" s="915">
        <v>58.238596877979994</v>
      </c>
      <c r="R30" s="916">
        <v>713283</v>
      </c>
      <c r="S30" s="915">
        <v>342.35376229100007</v>
      </c>
      <c r="T30" s="916">
        <v>132832</v>
      </c>
      <c r="U30" s="915">
        <v>49.865668044929997</v>
      </c>
      <c r="V30" s="916">
        <v>2769991</v>
      </c>
      <c r="W30" s="915">
        <v>1674.4304246393599</v>
      </c>
      <c r="X30" s="915">
        <v>6399.2341710999999</v>
      </c>
      <c r="Y30" s="916" t="s">
        <v>604</v>
      </c>
      <c r="Z30" s="916">
        <v>20150016</v>
      </c>
      <c r="AA30" s="915">
        <v>20057.503033057001</v>
      </c>
      <c r="AB30" s="916">
        <v>1487</v>
      </c>
      <c r="AC30" s="915">
        <v>3.8668276523999996</v>
      </c>
      <c r="AD30" s="916">
        <v>1403366</v>
      </c>
      <c r="AE30" s="915">
        <v>536.75395848499988</v>
      </c>
      <c r="AF30" s="916">
        <v>14451</v>
      </c>
      <c r="AG30" s="915">
        <v>6.1575962190000002</v>
      </c>
      <c r="AH30" s="916">
        <v>1662218</v>
      </c>
      <c r="AI30" s="915">
        <v>317.43341209199997</v>
      </c>
      <c r="AJ30" s="916">
        <v>43558</v>
      </c>
      <c r="AK30" s="915">
        <v>13.076872040000001</v>
      </c>
      <c r="AL30" s="916">
        <v>23275096</v>
      </c>
      <c r="AM30" s="915">
        <v>20934.7916995454</v>
      </c>
      <c r="AN30" s="916">
        <v>254584</v>
      </c>
      <c r="AO30" s="915">
        <v>151.379186557</v>
      </c>
      <c r="AP30" s="916">
        <v>127676</v>
      </c>
      <c r="AQ30" s="915">
        <v>28.13007499255</v>
      </c>
      <c r="AR30" s="916">
        <v>73231</v>
      </c>
      <c r="AS30" s="915">
        <v>81.590330000000009</v>
      </c>
      <c r="AT30" s="916">
        <v>86062</v>
      </c>
      <c r="AU30" s="915">
        <v>68.906508597999988</v>
      </c>
      <c r="AV30" s="916">
        <v>60255</v>
      </c>
      <c r="AW30" s="915">
        <v>18.905738992999996</v>
      </c>
      <c r="AX30" s="916" t="s">
        <v>604</v>
      </c>
      <c r="AY30" s="916">
        <v>219548</v>
      </c>
      <c r="AZ30" s="915">
        <v>169.40257759100001</v>
      </c>
      <c r="BA30" s="916">
        <v>26646895</v>
      </c>
      <c r="BB30" s="915">
        <v>22958.133963325308</v>
      </c>
      <c r="BC30" s="916">
        <v>1746763</v>
      </c>
      <c r="BD30" s="916">
        <v>23865558</v>
      </c>
      <c r="BE30" s="916">
        <v>981158</v>
      </c>
      <c r="BF30" s="916">
        <v>26593479</v>
      </c>
      <c r="BG30" s="916">
        <v>3912195</v>
      </c>
      <c r="BH30" s="916">
        <v>3611919</v>
      </c>
      <c r="BI30" s="915">
        <v>15281.318395811677</v>
      </c>
      <c r="BJ30" s="916">
        <v>1421933</v>
      </c>
      <c r="BK30" s="916">
        <v>369127935</v>
      </c>
      <c r="BL30" s="915">
        <v>71229.455459309</v>
      </c>
      <c r="BM30" s="916">
        <v>159013728</v>
      </c>
      <c r="BN30" s="916">
        <v>13160</v>
      </c>
      <c r="BO30" s="916">
        <v>10557594</v>
      </c>
      <c r="BP30" s="915">
        <v>37512.935063650984</v>
      </c>
      <c r="BQ30" s="916">
        <v>12605017</v>
      </c>
      <c r="BR30" s="916">
        <v>12425</v>
      </c>
      <c r="BS30" s="916">
        <v>83541</v>
      </c>
    </row>
    <row r="31" spans="1:73" s="198" customFormat="1" ht="12.2" customHeight="1">
      <c r="A31" s="1352" t="s">
        <v>598</v>
      </c>
      <c r="B31" s="1352">
        <v>1903419</v>
      </c>
      <c r="C31" s="1353">
        <v>221194.79354262009</v>
      </c>
      <c r="D31" s="1352">
        <v>33888</v>
      </c>
      <c r="E31" s="1353">
        <v>450.01962168700004</v>
      </c>
      <c r="F31" s="627">
        <v>1937307</v>
      </c>
      <c r="G31" s="913">
        <v>221644.8131643071</v>
      </c>
      <c r="H31" s="1352">
        <v>7742407</v>
      </c>
      <c r="I31" s="1353">
        <v>44162.872666120005</v>
      </c>
      <c r="J31" s="1352">
        <v>367674</v>
      </c>
      <c r="K31" s="1353">
        <v>348.42900098199999</v>
      </c>
      <c r="L31" s="1352">
        <v>1629</v>
      </c>
      <c r="M31" s="1353">
        <v>3.3075337561499993</v>
      </c>
      <c r="N31" s="1352">
        <v>1711870</v>
      </c>
      <c r="O31" s="1353">
        <v>1028.9352436929998</v>
      </c>
      <c r="P31" s="1352">
        <v>99209</v>
      </c>
      <c r="Q31" s="1353">
        <v>69.841649383600014</v>
      </c>
      <c r="R31" s="1352">
        <v>716343</v>
      </c>
      <c r="S31" s="1353">
        <v>338.34500423399999</v>
      </c>
      <c r="T31" s="1352">
        <v>134671</v>
      </c>
      <c r="U31" s="1353">
        <v>50.838815874200009</v>
      </c>
      <c r="V31" s="1352">
        <v>3031396</v>
      </c>
      <c r="W31" s="1353">
        <v>1839.6972479229501</v>
      </c>
      <c r="X31" s="1353">
        <v>6510.771159455001</v>
      </c>
      <c r="Y31" s="1352" t="s">
        <v>598</v>
      </c>
      <c r="Z31" s="1352">
        <v>21480577</v>
      </c>
      <c r="AA31" s="1353">
        <v>21567.728490091009</v>
      </c>
      <c r="AB31" s="1352">
        <v>1705</v>
      </c>
      <c r="AC31" s="1353">
        <v>4.382979132</v>
      </c>
      <c r="AD31" s="1352">
        <v>1635362</v>
      </c>
      <c r="AE31" s="1353">
        <v>606.62209117299994</v>
      </c>
      <c r="AF31" s="1352">
        <v>18459</v>
      </c>
      <c r="AG31" s="1353">
        <v>7.9610742480000001</v>
      </c>
      <c r="AH31" s="1352">
        <v>1627735</v>
      </c>
      <c r="AI31" s="1353">
        <v>320.43006781899999</v>
      </c>
      <c r="AJ31" s="1352">
        <v>50840</v>
      </c>
      <c r="AK31" s="1353">
        <v>15.041898937000001</v>
      </c>
      <c r="AL31" s="1352">
        <v>24814678</v>
      </c>
      <c r="AM31" s="1353">
        <v>22522.166601400011</v>
      </c>
      <c r="AN31" s="1352">
        <v>269985</v>
      </c>
      <c r="AO31" s="1353">
        <v>165.85792895100002</v>
      </c>
      <c r="AP31" s="1352">
        <v>147487</v>
      </c>
      <c r="AQ31" s="1353">
        <v>33.176860486999999</v>
      </c>
      <c r="AR31" s="1352">
        <v>82886</v>
      </c>
      <c r="AS31" s="1353">
        <v>94.058159999999987</v>
      </c>
      <c r="AT31" s="1352">
        <v>97056</v>
      </c>
      <c r="AU31" s="1353">
        <v>73.45076796699999</v>
      </c>
      <c r="AV31" s="1352">
        <v>54706</v>
      </c>
      <c r="AW31" s="1353">
        <v>17.147082269999999</v>
      </c>
      <c r="AX31" s="1352" t="s">
        <v>598</v>
      </c>
      <c r="AY31" s="1352">
        <v>234648</v>
      </c>
      <c r="AZ31" s="1353">
        <v>184.65601023699998</v>
      </c>
      <c r="BA31" s="1352">
        <v>28498194</v>
      </c>
      <c r="BB31" s="1353">
        <v>24745.554648997964</v>
      </c>
      <c r="BC31" s="1352">
        <v>1762978</v>
      </c>
      <c r="BD31" s="1352">
        <v>24225164</v>
      </c>
      <c r="BE31" s="1352">
        <v>1026580</v>
      </c>
      <c r="BF31" s="1352">
        <v>27014722</v>
      </c>
      <c r="BG31" s="1352">
        <v>4025434</v>
      </c>
      <c r="BH31" s="1352">
        <v>3799414</v>
      </c>
      <c r="BI31" s="1353">
        <v>16862.599999999999</v>
      </c>
      <c r="BJ31" s="1352">
        <v>1411192</v>
      </c>
      <c r="BK31" s="1352">
        <v>365210917</v>
      </c>
      <c r="BL31" s="1353">
        <v>74248.534020512001</v>
      </c>
      <c r="BM31" s="1352">
        <v>162095327</v>
      </c>
      <c r="BN31" s="1352">
        <v>13467</v>
      </c>
      <c r="BO31" s="1352">
        <v>11171328</v>
      </c>
      <c r="BP31" s="1353">
        <v>42370.153202788009</v>
      </c>
      <c r="BQ31" s="1352">
        <v>12911018</v>
      </c>
      <c r="BR31" s="1352">
        <v>12495</v>
      </c>
      <c r="BS31" s="1352">
        <v>85817</v>
      </c>
    </row>
    <row r="32" spans="1:73" s="198" customFormat="1" ht="12.2" customHeight="1">
      <c r="A32" s="1354" t="s">
        <v>605</v>
      </c>
      <c r="B32" s="1354">
        <v>1770888</v>
      </c>
      <c r="C32" s="1355">
        <v>202462.296492208</v>
      </c>
      <c r="D32" s="1354">
        <v>31558</v>
      </c>
      <c r="E32" s="1355">
        <v>3064.2088966939996</v>
      </c>
      <c r="F32" s="916">
        <v>1802446</v>
      </c>
      <c r="G32" s="915">
        <v>205526.50538890201</v>
      </c>
      <c r="H32" s="1354">
        <v>9220208</v>
      </c>
      <c r="I32" s="1355">
        <v>44494.459862921009</v>
      </c>
      <c r="J32" s="1354">
        <v>410394</v>
      </c>
      <c r="K32" s="1355">
        <v>398.26932622399994</v>
      </c>
      <c r="L32" s="1354">
        <v>3212</v>
      </c>
      <c r="M32" s="1355">
        <v>4.4196079291499997</v>
      </c>
      <c r="N32" s="1354">
        <v>1818705</v>
      </c>
      <c r="O32" s="1355">
        <v>1070.4054986859999</v>
      </c>
      <c r="P32" s="1354">
        <v>118797</v>
      </c>
      <c r="Q32" s="1355">
        <v>103.64007422159999</v>
      </c>
      <c r="R32" s="1354">
        <v>715865</v>
      </c>
      <c r="S32" s="1355">
        <v>329.02056945200002</v>
      </c>
      <c r="T32" s="1354">
        <v>136851</v>
      </c>
      <c r="U32" s="1355">
        <v>58.528025137499995</v>
      </c>
      <c r="V32" s="1354">
        <v>3203824</v>
      </c>
      <c r="W32" s="1355">
        <v>1964.2831016502496</v>
      </c>
      <c r="X32" s="1355">
        <v>6681.1284291169995</v>
      </c>
      <c r="Y32" s="1354" t="s">
        <v>605</v>
      </c>
      <c r="Z32" s="1354">
        <v>22281925</v>
      </c>
      <c r="AA32" s="1355">
        <v>22173.372455720004</v>
      </c>
      <c r="AB32" s="1354">
        <v>2245</v>
      </c>
      <c r="AC32" s="1355">
        <v>4.6866773630000003</v>
      </c>
      <c r="AD32" s="1354">
        <v>1721050</v>
      </c>
      <c r="AE32" s="1355">
        <v>632.31953849300021</v>
      </c>
      <c r="AF32" s="1354">
        <v>20411</v>
      </c>
      <c r="AG32" s="1355">
        <v>10.782154884000001</v>
      </c>
      <c r="AH32" s="1354">
        <v>1575736</v>
      </c>
      <c r="AI32" s="1355">
        <v>289.67312253599999</v>
      </c>
      <c r="AJ32" s="1354">
        <v>53655</v>
      </c>
      <c r="AK32" s="1355">
        <v>15.451374351999998</v>
      </c>
      <c r="AL32" s="1354">
        <v>25655022</v>
      </c>
      <c r="AM32" s="1355">
        <v>23126.285323348005</v>
      </c>
      <c r="AN32" s="1354">
        <v>274249</v>
      </c>
      <c r="AO32" s="1355">
        <v>167.31234587399993</v>
      </c>
      <c r="AP32" s="1354">
        <v>179532</v>
      </c>
      <c r="AQ32" s="1355">
        <v>33.897674557000002</v>
      </c>
      <c r="AR32" s="1354">
        <v>91683</v>
      </c>
      <c r="AS32" s="1355">
        <v>102.28888999999998</v>
      </c>
      <c r="AT32" s="1354">
        <v>113017</v>
      </c>
      <c r="AU32" s="1355">
        <v>88.977779075000015</v>
      </c>
      <c r="AV32" s="1354">
        <v>58722</v>
      </c>
      <c r="AW32" s="1355">
        <v>18.180474414999999</v>
      </c>
      <c r="AX32" s="1354" t="s">
        <v>605</v>
      </c>
      <c r="AY32" s="1354">
        <v>263422</v>
      </c>
      <c r="AZ32" s="1355">
        <v>209.44714348999997</v>
      </c>
      <c r="BA32" s="1354">
        <v>29576049</v>
      </c>
      <c r="BB32" s="1355">
        <v>25501.225588919257</v>
      </c>
      <c r="BC32" s="1354">
        <v>1779794</v>
      </c>
      <c r="BD32" s="1354">
        <v>24675363</v>
      </c>
      <c r="BE32" s="1354">
        <v>1075009</v>
      </c>
      <c r="BF32" s="1354">
        <v>27530166</v>
      </c>
      <c r="BG32" s="1354">
        <v>4158419</v>
      </c>
      <c r="BH32" s="1354">
        <v>4070877</v>
      </c>
      <c r="BI32" s="1355">
        <v>15558.281767685687</v>
      </c>
      <c r="BJ32" s="1354">
        <v>1431364</v>
      </c>
      <c r="BK32" s="1354">
        <v>376249253</v>
      </c>
      <c r="BL32" s="1355">
        <v>76725.320824984985</v>
      </c>
      <c r="BM32" s="1354">
        <v>164619367</v>
      </c>
      <c r="BN32" s="1354">
        <v>13591</v>
      </c>
      <c r="BO32" s="1354">
        <v>11513278</v>
      </c>
      <c r="BP32" s="1355">
        <v>42072.363378067996</v>
      </c>
      <c r="BQ32" s="1354">
        <v>13189535</v>
      </c>
      <c r="BR32" s="1354">
        <v>12567</v>
      </c>
      <c r="BS32" s="1354">
        <v>87417</v>
      </c>
      <c r="BU32" s="1538"/>
    </row>
    <row r="33" spans="1:72" s="198" customFormat="1" ht="12.2" customHeight="1">
      <c r="A33" s="1352" t="s">
        <v>606</v>
      </c>
      <c r="B33" s="1352">
        <v>1900797</v>
      </c>
      <c r="C33" s="1353">
        <v>209510.19422118407</v>
      </c>
      <c r="D33" s="1352">
        <v>30722</v>
      </c>
      <c r="E33" s="1353">
        <v>377.05998358300002</v>
      </c>
      <c r="F33" s="627">
        <v>1931519</v>
      </c>
      <c r="G33" s="913">
        <v>209887.25420476706</v>
      </c>
      <c r="H33" s="1352">
        <v>15729267</v>
      </c>
      <c r="I33" s="1353">
        <v>46772.188545958001</v>
      </c>
      <c r="J33" s="1352">
        <v>460525</v>
      </c>
      <c r="K33" s="1353">
        <v>450.16549999200009</v>
      </c>
      <c r="L33" s="1352">
        <v>2678</v>
      </c>
      <c r="M33" s="1353">
        <v>5.3135209535500012</v>
      </c>
      <c r="N33" s="1352">
        <v>1840658</v>
      </c>
      <c r="O33" s="1353">
        <v>1075.8782230890001</v>
      </c>
      <c r="P33" s="1352">
        <v>128543</v>
      </c>
      <c r="Q33" s="1353">
        <v>118.01439479799998</v>
      </c>
      <c r="R33" s="1352">
        <v>800455</v>
      </c>
      <c r="S33" s="1353">
        <v>388.77463622399995</v>
      </c>
      <c r="T33" s="1352">
        <v>137349</v>
      </c>
      <c r="U33" s="1353">
        <v>54.248931625400012</v>
      </c>
      <c r="V33" s="1352">
        <v>3370208</v>
      </c>
      <c r="W33" s="1353">
        <v>2092.3952066819502</v>
      </c>
      <c r="X33" s="1353">
        <v>6813.1702359789997</v>
      </c>
      <c r="Y33" s="1352" t="s">
        <v>606</v>
      </c>
      <c r="Z33" s="1352">
        <v>22693553</v>
      </c>
      <c r="AA33" s="1353">
        <v>22213.762971710006</v>
      </c>
      <c r="AB33" s="1352">
        <v>2884</v>
      </c>
      <c r="AC33" s="1353">
        <v>5.1887718899500008</v>
      </c>
      <c r="AD33" s="1352">
        <v>1778182</v>
      </c>
      <c r="AE33" s="1353">
        <v>641.12824451600011</v>
      </c>
      <c r="AF33" s="1352">
        <v>20491</v>
      </c>
      <c r="AG33" s="1353">
        <v>12.0646708816</v>
      </c>
      <c r="AH33" s="1352">
        <v>1611678</v>
      </c>
      <c r="AI33" s="1353">
        <v>291.37964958999999</v>
      </c>
      <c r="AJ33" s="1352">
        <v>49607</v>
      </c>
      <c r="AK33" s="1353">
        <v>14.993300797000002</v>
      </c>
      <c r="AL33" s="1352">
        <v>26156395</v>
      </c>
      <c r="AM33" s="1353">
        <v>23178.517609384551</v>
      </c>
      <c r="AN33" s="1352">
        <v>261658</v>
      </c>
      <c r="AO33" s="1353">
        <v>168.16993821999998</v>
      </c>
      <c r="AP33" s="1352">
        <v>138261</v>
      </c>
      <c r="AQ33" s="1353">
        <v>32.410279254849996</v>
      </c>
      <c r="AR33" s="1352">
        <v>95942</v>
      </c>
      <c r="AS33" s="1353">
        <v>106.47660999999997</v>
      </c>
      <c r="AT33" s="1352">
        <v>119123</v>
      </c>
      <c r="AU33" s="1353">
        <v>98.848366163999998</v>
      </c>
      <c r="AV33" s="1352">
        <v>57798</v>
      </c>
      <c r="AW33" s="1353">
        <v>20.043510759</v>
      </c>
      <c r="AX33" s="1352" t="s">
        <v>606</v>
      </c>
      <c r="AY33" s="1352">
        <v>272863</v>
      </c>
      <c r="AZ33" s="1353">
        <v>225.36848692299998</v>
      </c>
      <c r="BA33" s="1352">
        <v>30199385</v>
      </c>
      <c r="BB33" s="1353">
        <v>25696.86152046435</v>
      </c>
      <c r="BC33" s="1352">
        <v>1802876</v>
      </c>
      <c r="BD33" s="1352">
        <v>24999319</v>
      </c>
      <c r="BE33" s="1352">
        <v>1130272</v>
      </c>
      <c r="BF33" s="1352">
        <v>27932467</v>
      </c>
      <c r="BG33" s="1352">
        <v>4306170</v>
      </c>
      <c r="BH33" s="1352">
        <v>3983288</v>
      </c>
      <c r="BI33" s="1353">
        <v>17009.394527376</v>
      </c>
      <c r="BJ33" s="1352">
        <v>1388741</v>
      </c>
      <c r="BK33" s="1352">
        <v>376260335</v>
      </c>
      <c r="BL33" s="1353">
        <v>78584.118753516988</v>
      </c>
      <c r="BM33" s="1352">
        <v>167005492</v>
      </c>
      <c r="BN33" s="1352">
        <v>13753</v>
      </c>
      <c r="BO33" s="1352">
        <v>13846787</v>
      </c>
      <c r="BP33" s="1353">
        <v>45381.954389071994</v>
      </c>
      <c r="BQ33" s="1352">
        <v>13507106</v>
      </c>
      <c r="BR33" s="1352">
        <v>12652</v>
      </c>
      <c r="BS33" s="1352">
        <v>88776</v>
      </c>
    </row>
    <row r="34" spans="1:72" s="198" customFormat="1" ht="12.2" customHeight="1">
      <c r="A34" s="1354" t="s">
        <v>599</v>
      </c>
      <c r="B34" s="1354">
        <v>1922957</v>
      </c>
      <c r="C34" s="1355">
        <v>233537.99269770601</v>
      </c>
      <c r="D34" s="1354">
        <v>24812</v>
      </c>
      <c r="E34" s="1355">
        <v>253.40989335</v>
      </c>
      <c r="F34" s="916">
        <v>1947769</v>
      </c>
      <c r="G34" s="915">
        <v>233791.40259105602</v>
      </c>
      <c r="H34" s="1354">
        <v>9608390</v>
      </c>
      <c r="I34" s="1355">
        <v>47253.709872514999</v>
      </c>
      <c r="J34" s="1354">
        <v>487891</v>
      </c>
      <c r="K34" s="1355">
        <v>492.24236113000001</v>
      </c>
      <c r="L34" s="1354">
        <v>2750</v>
      </c>
      <c r="M34" s="1355">
        <v>4.9982394561999985</v>
      </c>
      <c r="N34" s="1354">
        <v>1948816</v>
      </c>
      <c r="O34" s="1355">
        <v>1175.7723725399999</v>
      </c>
      <c r="P34" s="1354">
        <v>125114</v>
      </c>
      <c r="Q34" s="1355">
        <v>114.93624128869999</v>
      </c>
      <c r="R34" s="1354">
        <v>778310</v>
      </c>
      <c r="S34" s="1355">
        <v>385.99476495900012</v>
      </c>
      <c r="T34" s="1354">
        <v>128991</v>
      </c>
      <c r="U34" s="1355">
        <v>55.036242900650002</v>
      </c>
      <c r="V34" s="1354">
        <v>3471872</v>
      </c>
      <c r="W34" s="1355">
        <v>2228.9802222745502</v>
      </c>
      <c r="X34" s="1355">
        <v>6944.243368677</v>
      </c>
      <c r="Y34" s="1354" t="s">
        <v>599</v>
      </c>
      <c r="Z34" s="1354">
        <v>23517987</v>
      </c>
      <c r="AA34" s="1355">
        <v>23320.486913219996</v>
      </c>
      <c r="AB34" s="1354">
        <v>4305</v>
      </c>
      <c r="AC34" s="1355">
        <v>8.4184159550000004</v>
      </c>
      <c r="AD34" s="1354">
        <v>1843500</v>
      </c>
      <c r="AE34" s="1355">
        <v>682.11068501399973</v>
      </c>
      <c r="AF34" s="1354">
        <v>24630</v>
      </c>
      <c r="AG34" s="1355">
        <v>12.770804625999999</v>
      </c>
      <c r="AH34" s="1354">
        <v>1659356</v>
      </c>
      <c r="AI34" s="1355">
        <v>314.22435338699995</v>
      </c>
      <c r="AJ34" s="1354">
        <v>67243</v>
      </c>
      <c r="AK34" s="1355">
        <v>18.960791286999999</v>
      </c>
      <c r="AL34" s="1354">
        <v>27117021</v>
      </c>
      <c r="AM34" s="1355">
        <v>24356.971963488995</v>
      </c>
      <c r="AN34" s="1354">
        <v>272921</v>
      </c>
      <c r="AO34" s="1355">
        <v>179.93944547699999</v>
      </c>
      <c r="AP34" s="1354">
        <v>138215</v>
      </c>
      <c r="AQ34" s="1355">
        <v>35.037691775550002</v>
      </c>
      <c r="AR34" s="1354">
        <v>125251</v>
      </c>
      <c r="AS34" s="1355">
        <v>136.04496</v>
      </c>
      <c r="AT34" s="1354">
        <v>147881</v>
      </c>
      <c r="AU34" s="1355">
        <v>118.28893613720001</v>
      </c>
      <c r="AV34" s="1354">
        <v>48693</v>
      </c>
      <c r="AW34" s="1355">
        <v>19.323091163999997</v>
      </c>
      <c r="AX34" s="1354" t="s">
        <v>599</v>
      </c>
      <c r="AY34" s="1354">
        <v>321825</v>
      </c>
      <c r="AZ34" s="1355">
        <v>273.65698730119999</v>
      </c>
      <c r="BA34" s="1388">
        <v>31321854</v>
      </c>
      <c r="BB34" s="1355">
        <v>27074.586310317296</v>
      </c>
      <c r="BC34" s="1354">
        <v>1833242</v>
      </c>
      <c r="BD34" s="1354">
        <v>25285859</v>
      </c>
      <c r="BE34" s="1354">
        <v>1154901</v>
      </c>
      <c r="BF34" s="1354">
        <v>28274002</v>
      </c>
      <c r="BG34" s="1354">
        <v>4439938</v>
      </c>
      <c r="BH34" s="1354">
        <v>4299401</v>
      </c>
      <c r="BI34" s="1355">
        <v>20558.932781705</v>
      </c>
      <c r="BJ34" s="1354">
        <v>1412767</v>
      </c>
      <c r="BK34" s="1354">
        <v>391636834</v>
      </c>
      <c r="BL34" s="1355">
        <v>81099.127387726723</v>
      </c>
      <c r="BM34" s="1354">
        <v>169722031</v>
      </c>
      <c r="BN34" s="1354">
        <v>13951</v>
      </c>
      <c r="BO34" s="1354">
        <v>13984633</v>
      </c>
      <c r="BP34" s="1355">
        <v>49139.286617982994</v>
      </c>
      <c r="BQ34" s="1354">
        <v>14047396</v>
      </c>
      <c r="BR34" s="1354">
        <v>12831</v>
      </c>
      <c r="BS34" s="1354">
        <v>92086</v>
      </c>
    </row>
    <row r="35" spans="1:72" s="198" customFormat="1" ht="12.2" customHeight="1">
      <c r="A35" s="1352" t="s">
        <v>607</v>
      </c>
      <c r="B35" s="1352">
        <v>1990096</v>
      </c>
      <c r="C35" s="1353">
        <v>219165.90039558904</v>
      </c>
      <c r="D35" s="1352">
        <v>21317</v>
      </c>
      <c r="E35" s="1353">
        <v>258.63001461700003</v>
      </c>
      <c r="F35" s="627">
        <v>2011413</v>
      </c>
      <c r="G35" s="913">
        <v>219424.53041020603</v>
      </c>
      <c r="H35" s="1352">
        <v>21069894</v>
      </c>
      <c r="I35" s="1353">
        <v>51636.257107776</v>
      </c>
      <c r="J35" s="1352">
        <v>491194</v>
      </c>
      <c r="K35" s="1353">
        <v>510.35974188900002</v>
      </c>
      <c r="L35" s="1352">
        <v>2114</v>
      </c>
      <c r="M35" s="1353">
        <v>4.0691324765500001</v>
      </c>
      <c r="N35" s="1352">
        <v>1939894</v>
      </c>
      <c r="O35" s="1353">
        <v>1115.9255265250001</v>
      </c>
      <c r="P35" s="1352">
        <v>106587</v>
      </c>
      <c r="Q35" s="1353">
        <v>91.704788560600008</v>
      </c>
      <c r="R35" s="1352">
        <v>765468</v>
      </c>
      <c r="S35" s="1353">
        <v>363.28983351299996</v>
      </c>
      <c r="T35" s="1352">
        <v>124135</v>
      </c>
      <c r="U35" s="1353">
        <v>53.029834403150005</v>
      </c>
      <c r="V35" s="1352">
        <v>3429392</v>
      </c>
      <c r="W35" s="1353">
        <v>2138.3788573673</v>
      </c>
      <c r="X35" s="1353">
        <v>6973.3305707179989</v>
      </c>
      <c r="Y35" s="1352" t="s">
        <v>607</v>
      </c>
      <c r="Z35" s="1352">
        <v>23522301</v>
      </c>
      <c r="AA35" s="1353">
        <v>23678.081140039998</v>
      </c>
      <c r="AB35" s="1352">
        <v>2951</v>
      </c>
      <c r="AC35" s="1353">
        <v>6.033788841999999</v>
      </c>
      <c r="AD35" s="1352">
        <v>1774600</v>
      </c>
      <c r="AE35" s="1353">
        <v>657.07922867399975</v>
      </c>
      <c r="AF35" s="1352">
        <v>24821</v>
      </c>
      <c r="AG35" s="1353">
        <v>11.921848470000002</v>
      </c>
      <c r="AH35" s="1352">
        <v>1723783</v>
      </c>
      <c r="AI35" s="1353">
        <v>331.02529038199998</v>
      </c>
      <c r="AJ35" s="1352">
        <v>60566</v>
      </c>
      <c r="AK35" s="1353">
        <v>16.844941899999998</v>
      </c>
      <c r="AL35" s="1352">
        <v>27109022</v>
      </c>
      <c r="AM35" s="1353">
        <v>24700.986238307996</v>
      </c>
      <c r="AN35" s="1352">
        <v>310991</v>
      </c>
      <c r="AO35" s="1353">
        <v>197.151202369</v>
      </c>
      <c r="AP35" s="1352">
        <v>130755</v>
      </c>
      <c r="AQ35" s="1353">
        <v>35.913391338500006</v>
      </c>
      <c r="AR35" s="1352">
        <v>110162</v>
      </c>
      <c r="AS35" s="1353">
        <v>125.07638</v>
      </c>
      <c r="AT35" s="1352">
        <v>151303</v>
      </c>
      <c r="AU35" s="1353">
        <v>120.026409368</v>
      </c>
      <c r="AV35" s="1352">
        <v>68009</v>
      </c>
      <c r="AW35" s="1353">
        <v>24.168185911999998</v>
      </c>
      <c r="AX35" s="1352" t="s">
        <v>607</v>
      </c>
      <c r="AY35" s="1352">
        <v>329474</v>
      </c>
      <c r="AZ35" s="1353">
        <v>269.27097528000002</v>
      </c>
      <c r="BA35" s="1399">
        <v>31309634</v>
      </c>
      <c r="BB35" s="1353">
        <v>27341.7006646628</v>
      </c>
      <c r="BC35" s="1352">
        <v>1847534</v>
      </c>
      <c r="BD35" s="1352">
        <v>25574668</v>
      </c>
      <c r="BE35" s="1352">
        <v>1198452</v>
      </c>
      <c r="BF35" s="1352">
        <v>28620654</v>
      </c>
      <c r="BG35" s="1352">
        <v>4554785</v>
      </c>
      <c r="BH35" s="1352">
        <v>4552127</v>
      </c>
      <c r="BI35" s="1353">
        <v>18623.21254036</v>
      </c>
      <c r="BJ35" s="1352">
        <v>1429850</v>
      </c>
      <c r="BK35" s="1352">
        <v>408094514</v>
      </c>
      <c r="BL35" s="1353">
        <v>84783.405832185017</v>
      </c>
      <c r="BM35" s="1352">
        <v>173267972</v>
      </c>
      <c r="BN35" s="1352">
        <v>14081</v>
      </c>
      <c r="BO35" s="1352">
        <v>14755323</v>
      </c>
      <c r="BP35" s="1353">
        <v>52121.882127140998</v>
      </c>
      <c r="BQ35" s="1352">
        <v>14416227</v>
      </c>
      <c r="BR35" s="1352">
        <v>12864</v>
      </c>
      <c r="BS35" s="1352">
        <v>93662</v>
      </c>
    </row>
    <row r="36" spans="1:72" s="198" customFormat="1" ht="12.2" customHeight="1">
      <c r="A36" s="1354" t="s">
        <v>608</v>
      </c>
      <c r="B36" s="1354">
        <v>1806600</v>
      </c>
      <c r="C36" s="1355">
        <v>199140.02320160103</v>
      </c>
      <c r="D36" s="1354">
        <v>19114</v>
      </c>
      <c r="E36" s="1355">
        <v>205.67148592800001</v>
      </c>
      <c r="F36" s="916">
        <v>1825714</v>
      </c>
      <c r="G36" s="915">
        <v>199345.69468752903</v>
      </c>
      <c r="H36" s="1354">
        <v>10139310</v>
      </c>
      <c r="I36" s="1355">
        <v>41696.002652573006</v>
      </c>
      <c r="J36" s="1354">
        <v>477083</v>
      </c>
      <c r="K36" s="1355">
        <v>500.26342062999998</v>
      </c>
      <c r="L36" s="1354">
        <v>2008</v>
      </c>
      <c r="M36" s="1355">
        <v>3.5663784979000002</v>
      </c>
      <c r="N36" s="1354">
        <v>1816328</v>
      </c>
      <c r="O36" s="1355">
        <v>1046.7114541789999</v>
      </c>
      <c r="P36" s="1354">
        <v>99307</v>
      </c>
      <c r="Q36" s="1355">
        <v>149.47875566600001</v>
      </c>
      <c r="R36" s="1354">
        <v>734540</v>
      </c>
      <c r="S36" s="1355">
        <v>362.73004696500004</v>
      </c>
      <c r="T36" s="1354">
        <v>120498</v>
      </c>
      <c r="U36" s="1355">
        <v>46.018207770199993</v>
      </c>
      <c r="V36" s="1354">
        <v>3249764</v>
      </c>
      <c r="W36" s="1355">
        <v>2108.7682637081002</v>
      </c>
      <c r="X36" s="1355">
        <v>6424.9402682709997</v>
      </c>
      <c r="Y36" s="1354" t="s">
        <v>608</v>
      </c>
      <c r="Z36" s="1354">
        <v>22247507</v>
      </c>
      <c r="AA36" s="1355">
        <v>23466.763830510008</v>
      </c>
      <c r="AB36" s="1354">
        <v>2820</v>
      </c>
      <c r="AC36" s="1355">
        <v>6.1233303190000008</v>
      </c>
      <c r="AD36" s="1354">
        <v>1686544</v>
      </c>
      <c r="AE36" s="1355">
        <v>614.12309256200012</v>
      </c>
      <c r="AF36" s="1354">
        <v>20590</v>
      </c>
      <c r="AG36" s="1355">
        <v>10.262331951000002</v>
      </c>
      <c r="AH36" s="1354">
        <v>1751832</v>
      </c>
      <c r="AI36" s="1355">
        <v>300.91682441199998</v>
      </c>
      <c r="AJ36" s="1354">
        <v>50104</v>
      </c>
      <c r="AK36" s="1355">
        <v>12.549144401000001</v>
      </c>
      <c r="AL36" s="1354">
        <v>25759397</v>
      </c>
      <c r="AM36" s="1355">
        <v>24410.738554155007</v>
      </c>
      <c r="AN36" s="1354">
        <v>282637</v>
      </c>
      <c r="AO36" s="1355">
        <v>179.78879113399998</v>
      </c>
      <c r="AP36" s="1354">
        <v>130996</v>
      </c>
      <c r="AQ36" s="1355">
        <v>28.220984095399999</v>
      </c>
      <c r="AR36" s="1354">
        <v>108615</v>
      </c>
      <c r="AS36" s="1355">
        <v>124.86241000000003</v>
      </c>
      <c r="AT36" s="1354">
        <v>111261</v>
      </c>
      <c r="AU36" s="1355">
        <v>92.746632691000002</v>
      </c>
      <c r="AV36" s="1354">
        <v>59855</v>
      </c>
      <c r="AW36" s="1355">
        <v>20.445061199999998</v>
      </c>
      <c r="AX36" s="1354" t="s">
        <v>608</v>
      </c>
      <c r="AY36" s="1354">
        <v>279731</v>
      </c>
      <c r="AZ36" s="1355">
        <v>238.05410389100001</v>
      </c>
      <c r="BA36" s="1388">
        <v>29702525</v>
      </c>
      <c r="BB36" s="1355">
        <v>26965.570696983508</v>
      </c>
      <c r="BC36" s="1354">
        <v>1869149</v>
      </c>
      <c r="BD36" s="1354">
        <v>25980681</v>
      </c>
      <c r="BE36" s="1354">
        <v>1346291</v>
      </c>
      <c r="BF36" s="1354">
        <v>29196121</v>
      </c>
      <c r="BG36" s="1354">
        <v>4699459</v>
      </c>
      <c r="BH36" s="1354">
        <v>4496931</v>
      </c>
      <c r="BI36" s="1355">
        <v>17763.2963156888</v>
      </c>
      <c r="BJ36" s="1354">
        <v>1445537</v>
      </c>
      <c r="BK36" s="1354">
        <v>368643121</v>
      </c>
      <c r="BL36" s="1355">
        <v>78545.215144922986</v>
      </c>
      <c r="BM36" s="1354">
        <v>176274230</v>
      </c>
      <c r="BN36" s="1354">
        <v>14168</v>
      </c>
      <c r="BO36" s="1354">
        <v>13291184</v>
      </c>
      <c r="BP36" s="1355">
        <v>47055.907916987999</v>
      </c>
      <c r="BQ36" s="1354">
        <v>14777744</v>
      </c>
      <c r="BR36" s="1354">
        <v>12890</v>
      </c>
      <c r="BS36" s="1354">
        <v>95037</v>
      </c>
    </row>
    <row r="37" spans="1:72" s="198" customFormat="1" ht="12.2" customHeight="1">
      <c r="A37" s="1352" t="s">
        <v>600</v>
      </c>
      <c r="B37" s="1352">
        <v>2062183</v>
      </c>
      <c r="C37" s="1353">
        <v>235693.90227961095</v>
      </c>
      <c r="D37" s="1352">
        <v>19723</v>
      </c>
      <c r="E37" s="1353">
        <v>245.09898253000003</v>
      </c>
      <c r="F37" s="627">
        <v>2081906</v>
      </c>
      <c r="G37" s="913">
        <v>235939.00126214096</v>
      </c>
      <c r="H37" s="1352">
        <v>9793064</v>
      </c>
      <c r="I37" s="1353">
        <v>48129.23460851</v>
      </c>
      <c r="J37" s="1352">
        <v>568319</v>
      </c>
      <c r="K37" s="1353">
        <v>602.64428060199998</v>
      </c>
      <c r="L37" s="1352">
        <v>3198</v>
      </c>
      <c r="M37" s="1353">
        <v>5.5097845210500003</v>
      </c>
      <c r="N37" s="1352">
        <v>2110834</v>
      </c>
      <c r="O37" s="1353">
        <v>1283.128545454</v>
      </c>
      <c r="P37" s="1352">
        <v>151038</v>
      </c>
      <c r="Q37" s="1353">
        <v>144.39232870904999</v>
      </c>
      <c r="R37" s="1352">
        <v>825736</v>
      </c>
      <c r="S37" s="1353">
        <v>424.276372503</v>
      </c>
      <c r="T37" s="1352">
        <v>139082</v>
      </c>
      <c r="U37" s="1353">
        <v>53.492265069279995</v>
      </c>
      <c r="V37" s="1352">
        <v>3798207</v>
      </c>
      <c r="W37" s="1353">
        <v>2513.4435768583803</v>
      </c>
      <c r="X37" s="1353">
        <v>7220.9246867484981</v>
      </c>
      <c r="Y37" s="1352" t="s">
        <v>600</v>
      </c>
      <c r="Z37" s="1352">
        <v>26191120</v>
      </c>
      <c r="AA37" s="1353">
        <v>27276.259342900001</v>
      </c>
      <c r="AB37" s="1352">
        <v>4567</v>
      </c>
      <c r="AC37" s="1353">
        <v>9.2153516907499995</v>
      </c>
      <c r="AD37" s="1352">
        <v>1930735</v>
      </c>
      <c r="AE37" s="1353">
        <v>706.92674061100001</v>
      </c>
      <c r="AF37" s="1352">
        <v>31593</v>
      </c>
      <c r="AG37" s="1353">
        <v>17.186154825799999</v>
      </c>
      <c r="AH37" s="1352">
        <v>2171499</v>
      </c>
      <c r="AI37" s="1353">
        <v>349.37163641999996</v>
      </c>
      <c r="AJ37" s="1352">
        <v>64594</v>
      </c>
      <c r="AK37" s="1353">
        <v>16.055369583000001</v>
      </c>
      <c r="AL37" s="1352">
        <v>30394108</v>
      </c>
      <c r="AM37" s="1353">
        <v>28375.014596030549</v>
      </c>
      <c r="AN37" s="1352">
        <v>325406</v>
      </c>
      <c r="AO37" s="1353">
        <v>195.532636027</v>
      </c>
      <c r="AP37" s="1352">
        <v>136017</v>
      </c>
      <c r="AQ37" s="1353">
        <v>34.987395446250012</v>
      </c>
      <c r="AR37" s="1352">
        <v>121963</v>
      </c>
      <c r="AS37" s="1353">
        <v>139.86771000000002</v>
      </c>
      <c r="AT37" s="1352">
        <v>115842</v>
      </c>
      <c r="AU37" s="1353">
        <v>100.68839821200001</v>
      </c>
      <c r="AV37" s="1352">
        <v>66158</v>
      </c>
      <c r="AW37" s="1353">
        <v>29.032024819</v>
      </c>
      <c r="AX37" s="1352" t="s">
        <v>600</v>
      </c>
      <c r="AY37" s="1352">
        <v>303963</v>
      </c>
      <c r="AZ37" s="1353">
        <v>269.58813303100004</v>
      </c>
      <c r="BA37" s="1399">
        <v>34957701</v>
      </c>
      <c r="BB37" s="1353">
        <v>31388.566337393178</v>
      </c>
      <c r="BC37" s="1352">
        <v>1892324</v>
      </c>
      <c r="BD37" s="1352">
        <v>26447201</v>
      </c>
      <c r="BE37" s="1352">
        <v>1433849</v>
      </c>
      <c r="BF37" s="1352">
        <v>29773374</v>
      </c>
      <c r="BG37" s="1352">
        <v>4826551</v>
      </c>
      <c r="BH37" s="1352">
        <v>5177824</v>
      </c>
      <c r="BI37" s="1353">
        <v>23140.752912447002</v>
      </c>
      <c r="BJ37" s="1352">
        <v>1465032</v>
      </c>
      <c r="BK37" s="1352">
        <v>413268681</v>
      </c>
      <c r="BL37" s="1353">
        <v>89076.988267832246</v>
      </c>
      <c r="BM37" s="1352">
        <v>170251728</v>
      </c>
      <c r="BN37" s="1352">
        <v>14170</v>
      </c>
      <c r="BO37" s="1352">
        <v>13934578</v>
      </c>
      <c r="BP37" s="1353">
        <v>56640.253514036012</v>
      </c>
      <c r="BQ37" s="1352">
        <v>15192980</v>
      </c>
      <c r="BR37" s="1352">
        <v>12932</v>
      </c>
      <c r="BS37" s="1352">
        <v>97750</v>
      </c>
    </row>
    <row r="38" spans="1:72" s="198" customFormat="1" ht="12.2" customHeight="1">
      <c r="A38" s="1354" t="s">
        <v>609</v>
      </c>
      <c r="B38" s="1354">
        <v>2013636</v>
      </c>
      <c r="C38" s="1355">
        <v>215315.97997527695</v>
      </c>
      <c r="D38" s="1354">
        <v>16735</v>
      </c>
      <c r="E38" s="1355">
        <v>224.90402825999999</v>
      </c>
      <c r="F38" s="916">
        <v>2030371</v>
      </c>
      <c r="G38" s="915">
        <v>215540.88400353695</v>
      </c>
      <c r="H38" s="1354">
        <v>25290758</v>
      </c>
      <c r="I38" s="1355">
        <v>57900.417136665987</v>
      </c>
      <c r="J38" s="1354">
        <v>581350</v>
      </c>
      <c r="K38" s="1355">
        <v>641.08152580799992</v>
      </c>
      <c r="L38" s="1354">
        <v>3107</v>
      </c>
      <c r="M38" s="1355">
        <v>5.5065769065000003</v>
      </c>
      <c r="N38" s="1354">
        <v>2438062</v>
      </c>
      <c r="O38" s="1355">
        <v>1467.2745668690002</v>
      </c>
      <c r="P38" s="1354">
        <v>131537</v>
      </c>
      <c r="Q38" s="1355">
        <v>108.41622018700001</v>
      </c>
      <c r="R38" s="1354">
        <v>812058</v>
      </c>
      <c r="S38" s="1355">
        <v>441.73219965600015</v>
      </c>
      <c r="T38" s="1354">
        <v>127881</v>
      </c>
      <c r="U38" s="1355">
        <v>51.270539345499991</v>
      </c>
      <c r="V38" s="1354">
        <v>4093995</v>
      </c>
      <c r="W38" s="1355">
        <v>2715.2816287719997</v>
      </c>
      <c r="X38" s="1355">
        <v>7771.0612769239997</v>
      </c>
      <c r="Y38" s="1354" t="s">
        <v>609</v>
      </c>
      <c r="Z38" s="1354">
        <v>29966687</v>
      </c>
      <c r="AA38" s="1355">
        <v>31921.739893860013</v>
      </c>
      <c r="AB38" s="1354">
        <v>5063</v>
      </c>
      <c r="AC38" s="1355">
        <v>10.834176455999998</v>
      </c>
      <c r="AD38" s="1354">
        <v>2418462</v>
      </c>
      <c r="AE38" s="1355">
        <v>929.53866834799999</v>
      </c>
      <c r="AF38" s="1354">
        <v>27978</v>
      </c>
      <c r="AG38" s="1355">
        <v>15.893282254000001</v>
      </c>
      <c r="AH38" s="1354">
        <v>2395616</v>
      </c>
      <c r="AI38" s="1355">
        <v>423.65200735300004</v>
      </c>
      <c r="AJ38" s="1354">
        <v>64979</v>
      </c>
      <c r="AK38" s="1355">
        <v>15.520207299000001</v>
      </c>
      <c r="AL38" s="1354">
        <v>34878785</v>
      </c>
      <c r="AM38" s="1355">
        <v>33317.178235570012</v>
      </c>
      <c r="AN38" s="1354">
        <v>416598</v>
      </c>
      <c r="AO38" s="1355">
        <v>276.28601649000007</v>
      </c>
      <c r="AP38" s="1354">
        <v>127761</v>
      </c>
      <c r="AQ38" s="1355">
        <v>33.521259824500007</v>
      </c>
      <c r="AR38" s="1354">
        <v>128818</v>
      </c>
      <c r="AS38" s="1355">
        <v>146.80036000000001</v>
      </c>
      <c r="AT38" s="1354">
        <v>110497</v>
      </c>
      <c r="AU38" s="1355">
        <v>90.99957950915001</v>
      </c>
      <c r="AV38" s="1354">
        <v>72122</v>
      </c>
      <c r="AW38" s="1355">
        <v>33.259707679999998</v>
      </c>
      <c r="AX38" s="1354" t="s">
        <v>609</v>
      </c>
      <c r="AY38" s="1354">
        <v>311437</v>
      </c>
      <c r="AZ38" s="1355">
        <v>271.05964718915004</v>
      </c>
      <c r="BA38" s="1388">
        <v>39828576</v>
      </c>
      <c r="BB38" s="1355">
        <v>36613.326787845654</v>
      </c>
      <c r="BC38" s="1354">
        <v>1922273</v>
      </c>
      <c r="BD38" s="1354">
        <v>26790235</v>
      </c>
      <c r="BE38" s="1354">
        <v>1547578</v>
      </c>
      <c r="BF38" s="1354">
        <v>30260086</v>
      </c>
      <c r="BG38" s="1354">
        <v>4924682</v>
      </c>
      <c r="BH38" s="1354">
        <v>5860722</v>
      </c>
      <c r="BI38" s="1355">
        <v>22957.597779653999</v>
      </c>
      <c r="BJ38" s="1354">
        <v>1482016</v>
      </c>
      <c r="BK38" s="1354">
        <v>444373921</v>
      </c>
      <c r="BL38" s="1355">
        <v>107460.3057010492</v>
      </c>
      <c r="BM38" s="1354">
        <v>172937294</v>
      </c>
      <c r="BN38" s="1354">
        <v>14188</v>
      </c>
      <c r="BO38" s="1354">
        <v>14189702</v>
      </c>
      <c r="BP38" s="1355">
        <v>53463.582995229997</v>
      </c>
      <c r="BQ38" s="1354">
        <v>15485570</v>
      </c>
      <c r="BR38" s="1354">
        <v>12948</v>
      </c>
      <c r="BS38" s="1354">
        <v>100170</v>
      </c>
    </row>
    <row r="39" spans="1:72" s="198" customFormat="1" ht="12.2" customHeight="1">
      <c r="A39" s="1352" t="s">
        <v>610</v>
      </c>
      <c r="B39" s="1352">
        <v>1569475</v>
      </c>
      <c r="C39" s="1353">
        <v>193495.74204772903</v>
      </c>
      <c r="D39" s="1352">
        <v>11898</v>
      </c>
      <c r="E39" s="1353">
        <v>169.58378911700001</v>
      </c>
      <c r="F39" s="627">
        <v>1581373</v>
      </c>
      <c r="G39" s="913">
        <v>193665.32583684602</v>
      </c>
      <c r="H39" s="1352">
        <v>14915428</v>
      </c>
      <c r="I39" s="1353">
        <v>44385.421638091</v>
      </c>
      <c r="J39" s="1352">
        <v>510585</v>
      </c>
      <c r="K39" s="1353">
        <v>540.93065202999992</v>
      </c>
      <c r="L39" s="1352">
        <v>5283</v>
      </c>
      <c r="M39" s="1353">
        <v>9.2570732881000009</v>
      </c>
      <c r="N39" s="1352">
        <v>2071700</v>
      </c>
      <c r="O39" s="1353">
        <v>1169.7114613849999</v>
      </c>
      <c r="P39" s="1352">
        <v>219953</v>
      </c>
      <c r="Q39" s="1353">
        <v>203.62548229349994</v>
      </c>
      <c r="R39" s="1352">
        <v>779690</v>
      </c>
      <c r="S39" s="1353">
        <v>392.54424229100005</v>
      </c>
      <c r="T39" s="1352">
        <v>138379</v>
      </c>
      <c r="U39" s="1353">
        <v>54.995213325400002</v>
      </c>
      <c r="V39" s="1352">
        <v>3725590</v>
      </c>
      <c r="W39" s="1353">
        <v>2371.0641246129999</v>
      </c>
      <c r="X39" s="1353">
        <v>7426.2714154025007</v>
      </c>
      <c r="Y39" s="1352" t="s">
        <v>610</v>
      </c>
      <c r="Z39" s="1352">
        <v>24998344</v>
      </c>
      <c r="AA39" s="1353">
        <v>24999.236244260002</v>
      </c>
      <c r="AB39" s="1352">
        <v>6919</v>
      </c>
      <c r="AC39" s="1353">
        <v>13.402153949999999</v>
      </c>
      <c r="AD39" s="1352">
        <v>1934867</v>
      </c>
      <c r="AE39" s="1353">
        <v>653.87248725299992</v>
      </c>
      <c r="AF39" s="1352">
        <v>34338</v>
      </c>
      <c r="AG39" s="1353">
        <v>24.650906749000001</v>
      </c>
      <c r="AH39" s="1352">
        <v>2145171</v>
      </c>
      <c r="AI39" s="1353">
        <v>343.96258948900009</v>
      </c>
      <c r="AJ39" s="1352">
        <v>66779</v>
      </c>
      <c r="AK39" s="1353">
        <v>15.710702869</v>
      </c>
      <c r="AL39" s="1352">
        <v>29186418</v>
      </c>
      <c r="AM39" s="1353">
        <v>26050.835084570004</v>
      </c>
      <c r="AN39" s="1352">
        <v>271703</v>
      </c>
      <c r="AO39" s="1353">
        <v>142.14219367699999</v>
      </c>
      <c r="AP39" s="1352">
        <v>114495</v>
      </c>
      <c r="AQ39" s="1353">
        <v>36.971001137800002</v>
      </c>
      <c r="AR39" s="1352">
        <v>68489</v>
      </c>
      <c r="AS39" s="1353">
        <v>78.811750000000004</v>
      </c>
      <c r="AT39" s="1352">
        <v>75535</v>
      </c>
      <c r="AU39" s="1353">
        <v>58.411440108499995</v>
      </c>
      <c r="AV39" s="1352">
        <v>66148</v>
      </c>
      <c r="AW39" s="1353">
        <v>28.062813043000002</v>
      </c>
      <c r="AX39" s="1352" t="s">
        <v>610</v>
      </c>
      <c r="AY39" s="1352">
        <v>210172</v>
      </c>
      <c r="AZ39" s="1353">
        <v>165.28600315150001</v>
      </c>
      <c r="BA39" s="1399">
        <v>33508378</v>
      </c>
      <c r="BB39" s="1353">
        <v>28766.298407149305</v>
      </c>
      <c r="BC39" s="1352">
        <v>1941162</v>
      </c>
      <c r="BD39" s="1352">
        <v>27169150</v>
      </c>
      <c r="BE39" s="1352">
        <v>1639290</v>
      </c>
      <c r="BF39" s="1352">
        <v>30749602</v>
      </c>
      <c r="BG39" s="1352">
        <v>5138554</v>
      </c>
      <c r="BH39" s="1352">
        <v>4819088</v>
      </c>
      <c r="BI39" s="1353">
        <v>20662.966513484997</v>
      </c>
      <c r="BJ39" s="1352">
        <v>1495856</v>
      </c>
      <c r="BK39" s="1352">
        <v>413216473</v>
      </c>
      <c r="BL39" s="1353">
        <v>76311.970791577754</v>
      </c>
      <c r="BM39" s="1352">
        <v>175769859</v>
      </c>
      <c r="BN39" s="1352">
        <v>14240</v>
      </c>
      <c r="BO39" s="1352">
        <v>14020406</v>
      </c>
      <c r="BP39" s="1353">
        <v>48028.707565219993</v>
      </c>
      <c r="BQ39" s="1352">
        <v>15720988</v>
      </c>
      <c r="BR39" s="1352">
        <v>12972</v>
      </c>
      <c r="BS39" s="1352">
        <v>101099</v>
      </c>
    </row>
    <row r="40" spans="1:72" s="198" customFormat="1" ht="12.2" customHeight="1">
      <c r="A40" s="1354" t="s">
        <v>601</v>
      </c>
      <c r="B40" s="1354">
        <v>2296445</v>
      </c>
      <c r="C40" s="1355">
        <v>280047.39524562599</v>
      </c>
      <c r="D40" s="1354">
        <v>18175</v>
      </c>
      <c r="E40" s="1355">
        <v>496.87514473000005</v>
      </c>
      <c r="F40" s="916">
        <v>2314620</v>
      </c>
      <c r="G40" s="915">
        <v>280544.27039035596</v>
      </c>
      <c r="H40" s="1354">
        <v>36669413</v>
      </c>
      <c r="I40" s="1355">
        <v>62368.642332801006</v>
      </c>
      <c r="J40" s="1354">
        <v>560581</v>
      </c>
      <c r="K40" s="1355">
        <v>589.31767761799995</v>
      </c>
      <c r="L40" s="1354">
        <v>4212</v>
      </c>
      <c r="M40" s="1355">
        <v>7.475800120649998</v>
      </c>
      <c r="N40" s="1354">
        <v>2024832</v>
      </c>
      <c r="O40" s="1355">
        <v>1217.2293396269997</v>
      </c>
      <c r="P40" s="1354">
        <v>195207</v>
      </c>
      <c r="Q40" s="1355">
        <v>175.36615071104998</v>
      </c>
      <c r="R40" s="1354">
        <v>834763</v>
      </c>
      <c r="S40" s="1355">
        <v>441.56197677900002</v>
      </c>
      <c r="T40" s="1354">
        <v>133296</v>
      </c>
      <c r="U40" s="1355">
        <v>60.366066575849999</v>
      </c>
      <c r="V40" s="1354">
        <v>3752891</v>
      </c>
      <c r="W40" s="1355">
        <v>2491.3170114315494</v>
      </c>
      <c r="X40" s="1355">
        <v>7507.0998574979994</v>
      </c>
      <c r="Y40" s="1354" t="s">
        <v>601</v>
      </c>
      <c r="Z40" s="1354">
        <v>31051461</v>
      </c>
      <c r="AA40" s="1355">
        <v>33598.580505679995</v>
      </c>
      <c r="AB40" s="1354">
        <v>7628</v>
      </c>
      <c r="AC40" s="1355">
        <v>16.549180989</v>
      </c>
      <c r="AD40" s="1354">
        <v>1908890</v>
      </c>
      <c r="AE40" s="1355">
        <v>672.66633829999989</v>
      </c>
      <c r="AF40" s="1354">
        <v>36220</v>
      </c>
      <c r="AG40" s="1355">
        <v>25.035865922999999</v>
      </c>
      <c r="AH40" s="1354">
        <v>2357882</v>
      </c>
      <c r="AI40" s="1355">
        <v>409.71168222099999</v>
      </c>
      <c r="AJ40" s="1354">
        <v>75477</v>
      </c>
      <c r="AK40" s="1355">
        <v>22.118316146999998</v>
      </c>
      <c r="AL40" s="1354">
        <v>35437558</v>
      </c>
      <c r="AM40" s="1355">
        <v>34744.661889259994</v>
      </c>
      <c r="AN40" s="1354">
        <v>308378</v>
      </c>
      <c r="AO40" s="1355">
        <v>202.91023373600004</v>
      </c>
      <c r="AP40" s="1354">
        <v>133265</v>
      </c>
      <c r="AQ40" s="1355">
        <v>92.531627894500005</v>
      </c>
      <c r="AR40" s="1354">
        <v>60739</v>
      </c>
      <c r="AS40" s="1355">
        <v>73.237179999999995</v>
      </c>
      <c r="AT40" s="1354">
        <v>71061</v>
      </c>
      <c r="AU40" s="1355">
        <v>63.980405747400006</v>
      </c>
      <c r="AV40" s="1354">
        <v>74275</v>
      </c>
      <c r="AW40" s="1355">
        <v>33.342587652000006</v>
      </c>
      <c r="AX40" s="1354" t="s">
        <v>601</v>
      </c>
      <c r="AY40" s="1354">
        <v>206075</v>
      </c>
      <c r="AZ40" s="1355">
        <v>170.56017339940001</v>
      </c>
      <c r="BA40" s="1388">
        <v>39838167</v>
      </c>
      <c r="BB40" s="1355">
        <v>37701.980935721447</v>
      </c>
      <c r="BC40" s="1354">
        <v>1978196</v>
      </c>
      <c r="BD40" s="1354">
        <v>27623986</v>
      </c>
      <c r="BE40" s="1354">
        <v>1869559</v>
      </c>
      <c r="BF40" s="1354">
        <v>31471741</v>
      </c>
      <c r="BG40" s="1354">
        <v>5355586</v>
      </c>
      <c r="BH40" s="1354">
        <v>5667084</v>
      </c>
      <c r="BI40" s="1355">
        <v>23770.835637511002</v>
      </c>
      <c r="BJ40" s="1354">
        <v>1515665</v>
      </c>
      <c r="BK40" s="1354">
        <v>461609837</v>
      </c>
      <c r="BL40" s="1355">
        <v>94293.701013542333</v>
      </c>
      <c r="BM40" s="1354">
        <v>178639642</v>
      </c>
      <c r="BN40" s="1354">
        <v>14300</v>
      </c>
      <c r="BO40" s="1354">
        <v>19871309</v>
      </c>
      <c r="BP40" s="1355">
        <v>58535.034291631011</v>
      </c>
      <c r="BQ40" s="1354">
        <v>16073962</v>
      </c>
      <c r="BR40" s="1354">
        <v>13036</v>
      </c>
      <c r="BS40" s="1354">
        <v>101341</v>
      </c>
    </row>
    <row r="41" spans="1:72" s="198" customFormat="1" ht="12.2" customHeight="1">
      <c r="A41" s="1605" t="s">
        <v>2475</v>
      </c>
      <c r="B41" s="1352"/>
      <c r="C41" s="1353"/>
      <c r="D41" s="1352"/>
      <c r="E41" s="1353"/>
      <c r="F41" s="1352"/>
      <c r="G41" s="1353"/>
      <c r="H41" s="1352"/>
      <c r="I41" s="1353"/>
      <c r="J41" s="1352"/>
      <c r="K41" s="1353"/>
      <c r="L41" s="1352"/>
      <c r="M41" s="1353"/>
      <c r="N41" s="1352"/>
      <c r="O41" s="1353"/>
      <c r="P41" s="1352"/>
      <c r="Q41" s="1353"/>
      <c r="R41" s="1352"/>
      <c r="S41" s="1353"/>
      <c r="T41" s="1352"/>
      <c r="U41" s="1353"/>
      <c r="V41" s="1352"/>
      <c r="W41" s="1353"/>
      <c r="X41" s="1353"/>
      <c r="Y41" s="1605" t="s">
        <v>2475</v>
      </c>
      <c r="Z41" s="1352"/>
      <c r="AA41" s="1353"/>
      <c r="AB41" s="1352"/>
      <c r="AC41" s="1353"/>
      <c r="AD41" s="1352"/>
      <c r="AE41" s="1353"/>
      <c r="AF41" s="1352"/>
      <c r="AG41" s="1353"/>
      <c r="AH41" s="1352"/>
      <c r="AI41" s="1353"/>
      <c r="AJ41" s="1352"/>
      <c r="AK41" s="1353"/>
      <c r="AL41" s="1352"/>
      <c r="AM41" s="1353"/>
      <c r="AN41" s="1352"/>
      <c r="AO41" s="1353"/>
      <c r="AP41" s="1352"/>
      <c r="AQ41" s="1353"/>
      <c r="AR41" s="1352"/>
      <c r="AS41" s="1353"/>
      <c r="AT41" s="1352"/>
      <c r="AU41" s="1353"/>
      <c r="AV41" s="1352"/>
      <c r="AW41" s="1353"/>
      <c r="AX41" s="1605" t="s">
        <v>2475</v>
      </c>
      <c r="AY41" s="1352"/>
      <c r="AZ41" s="1353"/>
      <c r="BA41" s="1399"/>
      <c r="BB41" s="1353"/>
      <c r="BC41" s="1352"/>
      <c r="BD41" s="1352"/>
      <c r="BE41" s="1352"/>
      <c r="BF41" s="1352"/>
      <c r="BG41" s="1352"/>
      <c r="BH41" s="1352"/>
      <c r="BI41" s="1353"/>
      <c r="BJ41" s="1352"/>
      <c r="BK41" s="1352"/>
      <c r="BL41" s="1353"/>
      <c r="BM41" s="1352"/>
      <c r="BN41" s="1352"/>
      <c r="BO41" s="1352"/>
      <c r="BP41" s="1353"/>
      <c r="BQ41" s="1352"/>
      <c r="BR41" s="1352"/>
      <c r="BS41" s="1352"/>
    </row>
    <row r="42" spans="1:72" s="198" customFormat="1" ht="12.2" customHeight="1">
      <c r="A42" s="1354" t="s">
        <v>603</v>
      </c>
      <c r="B42" s="1354">
        <v>1649517</v>
      </c>
      <c r="C42" s="1355">
        <v>202636.00549710292</v>
      </c>
      <c r="D42" s="1354">
        <v>9516</v>
      </c>
      <c r="E42" s="1355">
        <v>206.73015956</v>
      </c>
      <c r="F42" s="1354">
        <v>1659033</v>
      </c>
      <c r="G42" s="1355">
        <v>202842.7356566629</v>
      </c>
      <c r="H42" s="1354">
        <v>13398738</v>
      </c>
      <c r="I42" s="1355">
        <v>49119.83277993201</v>
      </c>
      <c r="J42" s="1354">
        <v>537464</v>
      </c>
      <c r="K42" s="1355">
        <v>581.66958493099992</v>
      </c>
      <c r="L42" s="1354">
        <v>6644</v>
      </c>
      <c r="M42" s="1355">
        <v>12.606325479300002</v>
      </c>
      <c r="N42" s="1354">
        <v>2106121</v>
      </c>
      <c r="O42" s="1355">
        <v>1248.9034585080001</v>
      </c>
      <c r="P42" s="1354">
        <v>243793</v>
      </c>
      <c r="Q42" s="1355">
        <v>233.21360683564993</v>
      </c>
      <c r="R42" s="1354">
        <v>807115</v>
      </c>
      <c r="S42" s="1355">
        <v>440.85201795699993</v>
      </c>
      <c r="T42" s="1354">
        <v>125636</v>
      </c>
      <c r="U42" s="1355">
        <v>60.749221170300018</v>
      </c>
      <c r="V42" s="1354">
        <v>3826773</v>
      </c>
      <c r="W42" s="1355">
        <v>2577.9942148812502</v>
      </c>
      <c r="X42" s="1355">
        <v>7281.2290249230009</v>
      </c>
      <c r="Y42" s="1354" t="s">
        <v>603</v>
      </c>
      <c r="Z42" s="1354">
        <v>31707919</v>
      </c>
      <c r="AA42" s="1355">
        <v>34151.280482898997</v>
      </c>
      <c r="AB42" s="1354">
        <v>9520</v>
      </c>
      <c r="AC42" s="1355">
        <v>19.932478428000003</v>
      </c>
      <c r="AD42" s="1354">
        <v>2101874</v>
      </c>
      <c r="AE42" s="1355">
        <v>772.13439491600002</v>
      </c>
      <c r="AF42" s="1354">
        <v>39955</v>
      </c>
      <c r="AG42" s="1355">
        <v>33.366148688999999</v>
      </c>
      <c r="AH42" s="1354">
        <v>2305148</v>
      </c>
      <c r="AI42" s="1355">
        <v>410.012584522</v>
      </c>
      <c r="AJ42" s="1354">
        <v>77442</v>
      </c>
      <c r="AK42" s="1355">
        <v>20.459789328999999</v>
      </c>
      <c r="AL42" s="1354">
        <v>36241858</v>
      </c>
      <c r="AM42" s="1355">
        <v>35407.185878782999</v>
      </c>
      <c r="AN42" s="1354">
        <v>336308</v>
      </c>
      <c r="AO42" s="1355">
        <v>229.95972937400009</v>
      </c>
      <c r="AP42" s="1354">
        <v>111710</v>
      </c>
      <c r="AQ42" s="1355">
        <v>60.597311433149997</v>
      </c>
      <c r="AR42" s="1354">
        <v>69168</v>
      </c>
      <c r="AS42" s="1355">
        <v>88.734829999999988</v>
      </c>
      <c r="AT42" s="1354">
        <v>78786</v>
      </c>
      <c r="AU42" s="1355">
        <v>67.675018949499986</v>
      </c>
      <c r="AV42" s="1354">
        <v>68995</v>
      </c>
      <c r="AW42" s="1355">
        <v>27.836900808999999</v>
      </c>
      <c r="AX42" s="1354" t="s">
        <v>603</v>
      </c>
      <c r="AY42" s="1354">
        <v>216949</v>
      </c>
      <c r="AZ42" s="1355">
        <v>184.24674975849996</v>
      </c>
      <c r="BA42" s="1388">
        <v>40733598</v>
      </c>
      <c r="BB42" s="1355">
        <v>38459.9838842299</v>
      </c>
      <c r="BC42" s="1354">
        <v>2007724</v>
      </c>
      <c r="BD42" s="1354">
        <v>27950359</v>
      </c>
      <c r="BE42" s="1354">
        <v>2528173</v>
      </c>
      <c r="BF42" s="1354">
        <v>32486256</v>
      </c>
      <c r="BG42" s="1354">
        <v>5472264</v>
      </c>
      <c r="BH42" s="1354">
        <v>5703793</v>
      </c>
      <c r="BI42" s="1355">
        <v>23548.536446219998</v>
      </c>
      <c r="BJ42" s="1354">
        <v>1526239</v>
      </c>
      <c r="BK42" s="1354">
        <v>431892765</v>
      </c>
      <c r="BL42" s="1355">
        <v>89169.25535799301</v>
      </c>
      <c r="BM42" s="1354">
        <v>181137763</v>
      </c>
      <c r="BN42" s="1354">
        <v>14412</v>
      </c>
      <c r="BO42" s="1354">
        <v>12448213</v>
      </c>
      <c r="BP42" s="1355">
        <v>52784.435324975995</v>
      </c>
      <c r="BQ42" s="1354">
        <v>16287310</v>
      </c>
      <c r="BR42" s="1354">
        <v>13065</v>
      </c>
      <c r="BS42" s="1354">
        <v>101993</v>
      </c>
    </row>
    <row r="43" spans="1:72" s="198" customFormat="1" ht="12.2" customHeight="1">
      <c r="A43" s="1352" t="s">
        <v>2707</v>
      </c>
      <c r="B43" s="1352">
        <v>1813828</v>
      </c>
      <c r="C43" s="1353">
        <v>231027.26298447303</v>
      </c>
      <c r="D43" s="1352">
        <v>9566</v>
      </c>
      <c r="E43" s="1353">
        <v>275.69495008000001</v>
      </c>
      <c r="F43" s="1352">
        <v>1823394</v>
      </c>
      <c r="G43" s="1353">
        <v>231302.95793455304</v>
      </c>
      <c r="H43" s="1352">
        <v>10270841</v>
      </c>
      <c r="I43" s="1353">
        <v>51699.025985130997</v>
      </c>
      <c r="J43" s="1352">
        <v>305734</v>
      </c>
      <c r="K43" s="1353">
        <v>297.46379853299993</v>
      </c>
      <c r="L43" s="1352">
        <v>11207</v>
      </c>
      <c r="M43" s="1353">
        <v>21.551331748349998</v>
      </c>
      <c r="N43" s="1352">
        <v>2167546</v>
      </c>
      <c r="O43" s="1353">
        <v>1237.755219726</v>
      </c>
      <c r="P43" s="1352">
        <v>248170</v>
      </c>
      <c r="Q43" s="1353">
        <v>222.70378755519994</v>
      </c>
      <c r="R43" s="1352">
        <v>864402</v>
      </c>
      <c r="S43" s="1353">
        <v>450.83845392900002</v>
      </c>
      <c r="T43" s="1352">
        <v>144881</v>
      </c>
      <c r="U43" s="1353">
        <v>72.090876788599999</v>
      </c>
      <c r="V43" s="1352">
        <v>3741940</v>
      </c>
      <c r="W43" s="1353">
        <v>2302.4034682801498</v>
      </c>
      <c r="X43" s="1353">
        <v>7704.961692246</v>
      </c>
      <c r="Y43" s="1352" t="s">
        <v>2707</v>
      </c>
      <c r="Z43" s="1352">
        <v>30727592</v>
      </c>
      <c r="AA43" s="1353">
        <v>32772.288250981997</v>
      </c>
      <c r="AB43" s="1352">
        <v>23847</v>
      </c>
      <c r="AC43" s="1353">
        <v>45.6440391816</v>
      </c>
      <c r="AD43" s="1352">
        <v>2051844</v>
      </c>
      <c r="AE43" s="1353">
        <v>712.74522970499993</v>
      </c>
      <c r="AF43" s="1352">
        <v>57902</v>
      </c>
      <c r="AG43" s="1353">
        <v>40.9528005815</v>
      </c>
      <c r="AH43" s="1352">
        <v>2422183</v>
      </c>
      <c r="AI43" s="1353">
        <v>414.59060374500018</v>
      </c>
      <c r="AJ43" s="1352">
        <v>171033</v>
      </c>
      <c r="AK43" s="1353">
        <v>32.590970567999996</v>
      </c>
      <c r="AL43" s="1352">
        <v>35454401</v>
      </c>
      <c r="AM43" s="1353">
        <v>34018.811894763094</v>
      </c>
      <c r="AN43" s="1352">
        <v>321726</v>
      </c>
      <c r="AO43" s="1353">
        <v>212.87233370899997</v>
      </c>
      <c r="AP43" s="1352">
        <v>160962</v>
      </c>
      <c r="AQ43" s="1353">
        <v>84.795698124750004</v>
      </c>
      <c r="AR43" s="1352">
        <v>63646</v>
      </c>
      <c r="AS43" s="1353">
        <v>75.588319999999996</v>
      </c>
      <c r="AT43" s="1352">
        <v>74124</v>
      </c>
      <c r="AU43" s="1353">
        <v>64.650515808999998</v>
      </c>
      <c r="AV43" s="1352">
        <v>72909</v>
      </c>
      <c r="AW43" s="1353">
        <v>28.635353281</v>
      </c>
      <c r="AX43" s="1352" t="s">
        <v>2707</v>
      </c>
      <c r="AY43" s="1352">
        <v>210679</v>
      </c>
      <c r="AZ43" s="1353">
        <v>168.87418908999999</v>
      </c>
      <c r="BA43" s="1399">
        <v>39889708</v>
      </c>
      <c r="BB43" s="1353">
        <v>36787.757583967003</v>
      </c>
      <c r="BC43" s="1352">
        <v>2022259</v>
      </c>
      <c r="BD43" s="1352">
        <v>28372594</v>
      </c>
      <c r="BE43" s="1352">
        <v>2985576</v>
      </c>
      <c r="BF43" s="1352">
        <v>33380429</v>
      </c>
      <c r="BG43" s="1352">
        <v>5716529</v>
      </c>
      <c r="BH43" s="1352">
        <v>5970748</v>
      </c>
      <c r="BI43" s="1353">
        <v>25543.982178814</v>
      </c>
      <c r="BJ43" s="1352">
        <v>1493398</v>
      </c>
      <c r="BK43" s="1352">
        <v>408059052</v>
      </c>
      <c r="BL43" s="1353">
        <v>87446.365902944221</v>
      </c>
      <c r="BM43" s="1352">
        <v>183224610</v>
      </c>
      <c r="BN43" s="1352">
        <v>14509</v>
      </c>
      <c r="BO43" s="1352">
        <v>12988273</v>
      </c>
      <c r="BP43" s="1353">
        <v>57542.348755307008</v>
      </c>
      <c r="BQ43" s="1352">
        <v>16537969</v>
      </c>
      <c r="BR43" s="1352">
        <v>13099</v>
      </c>
      <c r="BS43" s="1352">
        <v>103094</v>
      </c>
    </row>
    <row r="44" spans="1:72" s="198" customFormat="1" ht="12.2" customHeight="1">
      <c r="A44" s="1354" t="s">
        <v>598</v>
      </c>
      <c r="B44" s="1354">
        <v>1793147</v>
      </c>
      <c r="C44" s="1355">
        <v>216515.895644509</v>
      </c>
      <c r="D44" s="1354">
        <v>9074</v>
      </c>
      <c r="E44" s="1355">
        <v>248.47614779200001</v>
      </c>
      <c r="F44" s="1354">
        <v>1802221</v>
      </c>
      <c r="G44" s="1355">
        <v>216764.37179230101</v>
      </c>
      <c r="H44" s="1354">
        <v>9730251</v>
      </c>
      <c r="I44" s="1355">
        <v>48008.86222586799</v>
      </c>
      <c r="J44" s="1354">
        <v>275702</v>
      </c>
      <c r="K44" s="1355">
        <v>249.10009712200005</v>
      </c>
      <c r="L44" s="1354">
        <v>12868</v>
      </c>
      <c r="M44" s="1355">
        <v>22.1391225974</v>
      </c>
      <c r="N44" s="1354">
        <v>2151129</v>
      </c>
      <c r="O44" s="1355">
        <v>1213.5365075119998</v>
      </c>
      <c r="P44" s="1354">
        <v>269478</v>
      </c>
      <c r="Q44" s="1355">
        <v>239.71581757025004</v>
      </c>
      <c r="R44" s="1354">
        <v>875899</v>
      </c>
      <c r="S44" s="1355">
        <v>484.59167348900019</v>
      </c>
      <c r="T44" s="1354">
        <v>140097</v>
      </c>
      <c r="U44" s="1355">
        <v>72.686008021199981</v>
      </c>
      <c r="V44" s="1354">
        <v>3725173</v>
      </c>
      <c r="W44" s="1355">
        <v>2281.7692263118502</v>
      </c>
      <c r="X44" s="1355">
        <v>7790.9249361109987</v>
      </c>
      <c r="Y44" s="1354" t="s">
        <v>598</v>
      </c>
      <c r="Z44" s="1354">
        <v>30738357</v>
      </c>
      <c r="AA44" s="1355">
        <v>33048.737961022009</v>
      </c>
      <c r="AB44" s="1354">
        <v>32870</v>
      </c>
      <c r="AC44" s="1355">
        <v>69.361218919000009</v>
      </c>
      <c r="AD44" s="1354">
        <v>2074680</v>
      </c>
      <c r="AE44" s="1355">
        <v>720.01220303299999</v>
      </c>
      <c r="AF44" s="1354">
        <v>68822</v>
      </c>
      <c r="AG44" s="1355">
        <v>51.578971019000001</v>
      </c>
      <c r="AH44" s="1354">
        <v>2482218</v>
      </c>
      <c r="AI44" s="1355">
        <v>434.80153298300007</v>
      </c>
      <c r="AJ44" s="1354">
        <v>122407</v>
      </c>
      <c r="AK44" s="1355">
        <v>30.712125464000003</v>
      </c>
      <c r="AL44" s="1354">
        <v>35519354</v>
      </c>
      <c r="AM44" s="1355">
        <v>34355.204012440008</v>
      </c>
      <c r="AN44" s="1354">
        <v>339262</v>
      </c>
      <c r="AO44" s="1355">
        <v>229.54801825700002</v>
      </c>
      <c r="AP44" s="1354">
        <v>185120</v>
      </c>
      <c r="AQ44" s="1355">
        <v>99.559959695200007</v>
      </c>
      <c r="AR44" s="1354">
        <v>33513</v>
      </c>
      <c r="AS44" s="1355">
        <v>45.304720299999993</v>
      </c>
      <c r="AT44" s="1354">
        <v>58938</v>
      </c>
      <c r="AU44" s="1355">
        <v>55.353041109999999</v>
      </c>
      <c r="AV44" s="1354">
        <v>55438</v>
      </c>
      <c r="AW44" s="1355">
        <v>16.086852977000003</v>
      </c>
      <c r="AX44" s="1354" t="s">
        <v>598</v>
      </c>
      <c r="AY44" s="1354">
        <v>147889</v>
      </c>
      <c r="AZ44" s="1355">
        <v>116.744614387</v>
      </c>
      <c r="BA44" s="1388">
        <v>39916798</v>
      </c>
      <c r="BB44" s="1355">
        <v>37082.825831091046</v>
      </c>
      <c r="BC44" s="1354">
        <v>2037598</v>
      </c>
      <c r="BD44" s="1354">
        <v>28784052</v>
      </c>
      <c r="BE44" s="1354">
        <v>3099201</v>
      </c>
      <c r="BF44" s="1354">
        <v>33920851</v>
      </c>
      <c r="BG44" s="1354">
        <v>5889226</v>
      </c>
      <c r="BH44" s="1354">
        <v>6024976</v>
      </c>
      <c r="BI44" s="1355">
        <v>26605.388500904995</v>
      </c>
      <c r="BJ44" s="1354">
        <v>1505321</v>
      </c>
      <c r="BK44" s="1354">
        <v>408379707</v>
      </c>
      <c r="BL44" s="1355">
        <v>87635.165541996568</v>
      </c>
      <c r="BM44" s="1354">
        <v>185257932</v>
      </c>
      <c r="BN44" s="1354">
        <v>14716</v>
      </c>
      <c r="BO44" s="1354">
        <v>12732190</v>
      </c>
      <c r="BP44" s="1355">
        <v>59295.219292353991</v>
      </c>
      <c r="BQ44" s="1354">
        <v>16781251</v>
      </c>
      <c r="BR44" s="1354">
        <v>13210</v>
      </c>
      <c r="BS44" s="1354">
        <v>101712</v>
      </c>
    </row>
    <row r="45" spans="1:72" s="198" customFormat="1" ht="12.2" customHeight="1">
      <c r="A45" s="1352" t="s">
        <v>605</v>
      </c>
      <c r="B45" s="1352">
        <v>1804087</v>
      </c>
      <c r="C45" s="1353">
        <v>202714.520875396</v>
      </c>
      <c r="D45" s="1352">
        <v>9588</v>
      </c>
      <c r="E45" s="1353">
        <v>228.81203046100001</v>
      </c>
      <c r="F45" s="1352">
        <v>1813675</v>
      </c>
      <c r="G45" s="1353">
        <v>202943.33290585701</v>
      </c>
      <c r="H45" s="1352">
        <v>19944569</v>
      </c>
      <c r="I45" s="1353">
        <v>49241.193540115004</v>
      </c>
      <c r="J45" s="1352">
        <v>300746</v>
      </c>
      <c r="K45" s="1353">
        <v>278.27265123000001</v>
      </c>
      <c r="L45" s="1352">
        <v>12833</v>
      </c>
      <c r="M45" s="1353">
        <v>20.582455651699998</v>
      </c>
      <c r="N45" s="1352">
        <v>2262276</v>
      </c>
      <c r="O45" s="1353">
        <v>1293.4232380720002</v>
      </c>
      <c r="P45" s="1352">
        <v>294136</v>
      </c>
      <c r="Q45" s="1353">
        <v>265.80038767050002</v>
      </c>
      <c r="R45" s="1352">
        <v>934287</v>
      </c>
      <c r="S45" s="1353">
        <v>530.60861513300006</v>
      </c>
      <c r="T45" s="1352">
        <v>137364</v>
      </c>
      <c r="U45" s="1353">
        <v>69.551401434000013</v>
      </c>
      <c r="V45" s="1352">
        <v>3941642</v>
      </c>
      <c r="W45" s="1353">
        <v>2458.2387491912004</v>
      </c>
      <c r="X45" s="1353">
        <v>7963.2711617330015</v>
      </c>
      <c r="Y45" s="1352" t="s">
        <v>605</v>
      </c>
      <c r="Z45" s="1352">
        <v>31912334</v>
      </c>
      <c r="AA45" s="1353">
        <v>33899.013702949997</v>
      </c>
      <c r="AB45" s="1352">
        <v>32398</v>
      </c>
      <c r="AC45" s="1353">
        <v>71.87654535499999</v>
      </c>
      <c r="AD45" s="1352">
        <v>2154044</v>
      </c>
      <c r="AE45" s="1353">
        <v>749.00966447899998</v>
      </c>
      <c r="AF45" s="1352">
        <v>79211</v>
      </c>
      <c r="AG45" s="1353">
        <v>58.312762106999998</v>
      </c>
      <c r="AH45" s="1352">
        <v>2546429</v>
      </c>
      <c r="AI45" s="1353">
        <v>445.590501985</v>
      </c>
      <c r="AJ45" s="1352">
        <v>130974</v>
      </c>
      <c r="AK45" s="1353">
        <v>29.804467473000003</v>
      </c>
      <c r="AL45" s="1352">
        <v>36855390</v>
      </c>
      <c r="AM45" s="1353">
        <v>35253.607644348995</v>
      </c>
      <c r="AN45" s="1352">
        <v>325905</v>
      </c>
      <c r="AO45" s="1353">
        <v>215.3015789159999</v>
      </c>
      <c r="AP45" s="1352">
        <v>180177</v>
      </c>
      <c r="AQ45" s="1353">
        <v>89.067913960799984</v>
      </c>
      <c r="AR45" s="1352">
        <v>34584</v>
      </c>
      <c r="AS45" s="1353">
        <v>48.116420000000005</v>
      </c>
      <c r="AT45" s="1352">
        <v>61196</v>
      </c>
      <c r="AU45" s="1353">
        <v>56.234574686999999</v>
      </c>
      <c r="AV45" s="1352">
        <v>48897</v>
      </c>
      <c r="AW45" s="1353">
        <v>14.606709499000003</v>
      </c>
      <c r="AX45" s="1352" t="s">
        <v>605</v>
      </c>
      <c r="AY45" s="1352">
        <v>144677</v>
      </c>
      <c r="AZ45" s="1353">
        <v>118.957704186</v>
      </c>
      <c r="BA45" s="1399">
        <v>41447791</v>
      </c>
      <c r="BB45" s="1353">
        <v>38135.173590602993</v>
      </c>
      <c r="BC45" s="1352">
        <v>2068597</v>
      </c>
      <c r="BD45" s="1352">
        <v>29155758</v>
      </c>
      <c r="BE45" s="1352">
        <v>3198443</v>
      </c>
      <c r="BF45" s="1352">
        <v>34422798</v>
      </c>
      <c r="BG45" s="1352">
        <v>6019687</v>
      </c>
      <c r="BH45" s="1352">
        <v>6117675</v>
      </c>
      <c r="BI45" s="1353">
        <v>25965.271321205</v>
      </c>
      <c r="BJ45" s="1352">
        <v>1521803</v>
      </c>
      <c r="BK45" s="1352">
        <v>444062360</v>
      </c>
      <c r="BL45" s="1353">
        <v>93013.440808555781</v>
      </c>
      <c r="BM45" s="1352">
        <v>187523593</v>
      </c>
      <c r="BN45" s="1352">
        <v>14833</v>
      </c>
      <c r="BO45" s="1352">
        <v>15506520</v>
      </c>
      <c r="BP45" s="1353">
        <v>59770.277142747</v>
      </c>
      <c r="BQ45" s="1352">
        <v>17042562</v>
      </c>
      <c r="BR45" s="1352">
        <v>13269</v>
      </c>
      <c r="BS45" s="1352">
        <v>102488</v>
      </c>
    </row>
    <row r="46" spans="1:72" s="198" customFormat="1" ht="12.2" customHeight="1" thickBot="1">
      <c r="A46" s="1687" t="s">
        <v>606</v>
      </c>
      <c r="B46" s="1687">
        <v>1804906</v>
      </c>
      <c r="C46" s="1688">
        <v>202666.52487974701</v>
      </c>
      <c r="D46" s="1687">
        <v>9825</v>
      </c>
      <c r="E46" s="1688">
        <v>238.93786359299997</v>
      </c>
      <c r="F46" s="1687">
        <v>1814731</v>
      </c>
      <c r="G46" s="1688">
        <v>202905.46274334</v>
      </c>
      <c r="H46" s="1687">
        <v>11106837</v>
      </c>
      <c r="I46" s="1688">
        <v>50322.474459369005</v>
      </c>
      <c r="J46" s="1687">
        <v>294745</v>
      </c>
      <c r="K46" s="1688">
        <v>275.56447863700009</v>
      </c>
      <c r="L46" s="1687">
        <v>10346</v>
      </c>
      <c r="M46" s="1688">
        <v>16.644283342000001</v>
      </c>
      <c r="N46" s="1687">
        <v>2175109</v>
      </c>
      <c r="O46" s="1688">
        <v>1310.2241300619999</v>
      </c>
      <c r="P46" s="1687">
        <v>255155</v>
      </c>
      <c r="Q46" s="1688">
        <v>230.4580237079999</v>
      </c>
      <c r="R46" s="1687">
        <v>1002128</v>
      </c>
      <c r="S46" s="1688">
        <v>548.61049771400019</v>
      </c>
      <c r="T46" s="1687">
        <v>137806</v>
      </c>
      <c r="U46" s="1688">
        <v>77.699769103500003</v>
      </c>
      <c r="V46" s="1687">
        <v>3875289</v>
      </c>
      <c r="W46" s="1688">
        <v>2459.2011825664995</v>
      </c>
      <c r="X46" s="1688">
        <v>8081.4645698180029</v>
      </c>
      <c r="Y46" s="1687" t="s">
        <v>606</v>
      </c>
      <c r="Z46" s="1687">
        <v>32672687</v>
      </c>
      <c r="AA46" s="1688">
        <v>35024.369650155</v>
      </c>
      <c r="AB46" s="1687">
        <v>29846</v>
      </c>
      <c r="AC46" s="1688">
        <v>71.346056673999996</v>
      </c>
      <c r="AD46" s="1687">
        <v>2118175</v>
      </c>
      <c r="AE46" s="1688">
        <v>727.10963299800005</v>
      </c>
      <c r="AF46" s="1687">
        <v>75297</v>
      </c>
      <c r="AG46" s="1688">
        <v>61.159001789000008</v>
      </c>
      <c r="AH46" s="1687">
        <v>2539175</v>
      </c>
      <c r="AI46" s="1688">
        <v>440.56617210900015</v>
      </c>
      <c r="AJ46" s="1687">
        <v>93709</v>
      </c>
      <c r="AK46" s="1688">
        <v>31.762348953</v>
      </c>
      <c r="AL46" s="1687">
        <v>37528889</v>
      </c>
      <c r="AM46" s="1688">
        <v>36356.312862677994</v>
      </c>
      <c r="AN46" s="1687">
        <v>333057</v>
      </c>
      <c r="AO46" s="1688">
        <v>218.30361029100001</v>
      </c>
      <c r="AP46" s="1687">
        <v>160957</v>
      </c>
      <c r="AQ46" s="1688">
        <v>83.595061401500004</v>
      </c>
      <c r="AR46" s="1687">
        <v>36006</v>
      </c>
      <c r="AS46" s="1688">
        <v>51.334510000000002</v>
      </c>
      <c r="AT46" s="1687">
        <v>67685</v>
      </c>
      <c r="AU46" s="1688">
        <v>62.887701202999992</v>
      </c>
      <c r="AV46" s="1687">
        <v>53000</v>
      </c>
      <c r="AW46" s="1688">
        <v>16.220736223999999</v>
      </c>
      <c r="AX46" s="1687" t="s">
        <v>606</v>
      </c>
      <c r="AY46" s="1687">
        <v>156691</v>
      </c>
      <c r="AZ46" s="1688">
        <v>130.44294742699998</v>
      </c>
      <c r="BA46" s="1689">
        <v>42054883</v>
      </c>
      <c r="BB46" s="1688">
        <v>39247.855664363997</v>
      </c>
      <c r="BC46" s="1687">
        <v>2087136</v>
      </c>
      <c r="BD46" s="1687">
        <v>29542887</v>
      </c>
      <c r="BE46" s="1687">
        <v>3279020</v>
      </c>
      <c r="BF46" s="1687">
        <v>34909043</v>
      </c>
      <c r="BG46" s="1687">
        <v>6127001</v>
      </c>
      <c r="BH46" s="1687">
        <v>6201828</v>
      </c>
      <c r="BI46" s="1688">
        <v>27426.641374221999</v>
      </c>
      <c r="BJ46" s="1687">
        <v>1531405</v>
      </c>
      <c r="BK46" s="1687">
        <v>415974768</v>
      </c>
      <c r="BL46" s="1688">
        <v>92125.748510986014</v>
      </c>
      <c r="BM46" s="1687">
        <v>188559736</v>
      </c>
      <c r="BN46" s="1687">
        <v>15056</v>
      </c>
      <c r="BO46" s="1687">
        <v>14627647</v>
      </c>
      <c r="BP46" s="1688">
        <v>65062.233981172001</v>
      </c>
      <c r="BQ46" s="1687">
        <v>17251563</v>
      </c>
      <c r="BR46" s="1687">
        <v>13367</v>
      </c>
      <c r="BS46" s="1687">
        <v>103035</v>
      </c>
    </row>
    <row r="47" spans="1:72">
      <c r="A47" s="1641" t="s">
        <v>2632</v>
      </c>
      <c r="B47" s="1641"/>
      <c r="C47" s="1641"/>
      <c r="D47" s="1641"/>
      <c r="E47" s="1641"/>
      <c r="F47" s="1641"/>
      <c r="G47" s="1641"/>
      <c r="H47" s="1641"/>
      <c r="I47" s="1641"/>
      <c r="J47" s="1356"/>
      <c r="K47" s="1356"/>
      <c r="L47" s="33" t="s">
        <v>2592</v>
      </c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Y47" s="260" t="s">
        <v>2380</v>
      </c>
      <c r="BJ47" s="33" t="s">
        <v>2509</v>
      </c>
      <c r="BK47" s="1542"/>
      <c r="BL47" s="1542"/>
      <c r="BM47" s="1542"/>
      <c r="BN47" s="1542"/>
      <c r="BO47" s="1542"/>
      <c r="BP47" s="1390"/>
      <c r="BQ47" s="33"/>
    </row>
    <row r="48" spans="1:72">
      <c r="A48" s="1641" t="s">
        <v>2633</v>
      </c>
      <c r="B48" s="1641"/>
      <c r="C48" s="1641"/>
      <c r="D48" s="1641"/>
      <c r="E48" s="1641"/>
      <c r="F48" s="1643"/>
      <c r="G48" s="1643"/>
      <c r="H48" s="1643"/>
      <c r="I48" s="1643"/>
      <c r="J48" s="854"/>
      <c r="L48" s="12" t="s">
        <v>2631</v>
      </c>
      <c r="M48" s="33"/>
      <c r="N48" s="33"/>
      <c r="O48" s="33"/>
      <c r="P48" s="33"/>
      <c r="Q48" s="33"/>
      <c r="BC48" s="1536"/>
      <c r="BD48" s="1436"/>
      <c r="BE48" s="1606"/>
      <c r="BF48" s="1"/>
      <c r="BG48" s="1436"/>
      <c r="BH48" s="1436"/>
      <c r="BI48" s="1435"/>
      <c r="BJ48" s="1658"/>
      <c r="BK48" s="1410"/>
      <c r="BL48" s="1435"/>
      <c r="BM48" s="1658"/>
      <c r="BN48" s="1659"/>
      <c r="BO48" s="1658"/>
      <c r="BP48" s="1435"/>
      <c r="BQ48" s="1435"/>
      <c r="BS48" s="1658"/>
      <c r="BT48" s="1389"/>
    </row>
    <row r="49" spans="1:73">
      <c r="A49" s="1642" t="s">
        <v>2593</v>
      </c>
      <c r="B49" s="1642"/>
      <c r="C49" s="1642"/>
      <c r="D49" s="1637"/>
      <c r="E49" s="1637"/>
      <c r="F49" s="1637"/>
      <c r="G49" s="1656"/>
      <c r="H49" s="1410"/>
      <c r="I49" s="1390"/>
      <c r="J49" s="1660" t="s">
        <v>2380</v>
      </c>
      <c r="BC49" s="1536"/>
      <c r="BD49" s="1436"/>
      <c r="BE49" s="1606"/>
      <c r="BF49" s="1"/>
      <c r="BG49" s="1436"/>
      <c r="BH49" s="1436"/>
      <c r="BI49" s="1435"/>
      <c r="BJ49" s="1658"/>
      <c r="BK49" s="1410"/>
      <c r="BL49" s="1435"/>
      <c r="BM49" s="1658"/>
      <c r="BN49" s="1659"/>
      <c r="BO49" s="1658"/>
      <c r="BP49" s="1436"/>
      <c r="BQ49" s="1435"/>
      <c r="BS49" s="1658"/>
      <c r="BT49" s="1389"/>
      <c r="BU49" s="1389"/>
    </row>
    <row r="50" spans="1:73">
      <c r="A50" s="1636"/>
      <c r="B50" s="1513"/>
      <c r="C50" s="1507"/>
      <c r="D50" s="1507"/>
      <c r="E50" s="1356"/>
      <c r="F50" s="1356"/>
      <c r="G50" s="1657"/>
      <c r="H50" s="1507"/>
      <c r="I50" s="1390"/>
      <c r="J50" s="1389"/>
      <c r="K50" s="1356"/>
      <c r="L50" s="1356"/>
      <c r="M50" s="1356"/>
      <c r="N50" s="1356"/>
      <c r="O50" s="1356"/>
      <c r="P50" s="1356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C50" s="1536"/>
      <c r="BD50" s="1436"/>
      <c r="BE50" s="1606"/>
      <c r="BF50" s="1"/>
      <c r="BG50" s="1436"/>
      <c r="BH50" s="1436"/>
      <c r="BI50" s="1435"/>
      <c r="BJ50" s="1658"/>
      <c r="BK50" s="1410"/>
      <c r="BL50" s="1435"/>
      <c r="BM50" s="1658"/>
      <c r="BN50" s="1659"/>
      <c r="BO50" s="1658"/>
      <c r="BP50" s="1436"/>
      <c r="BQ50" s="1435"/>
      <c r="BS50" s="1658"/>
      <c r="BT50" s="1389"/>
      <c r="BU50" s="1389"/>
    </row>
    <row r="51" spans="1:73">
      <c r="A51" s="1690"/>
      <c r="B51" s="1690"/>
      <c r="C51" s="1660"/>
      <c r="D51" s="1660"/>
      <c r="E51" s="1690"/>
      <c r="F51" s="1660"/>
      <c r="G51" s="1691"/>
      <c r="H51" s="1660"/>
      <c r="I51" s="1660"/>
      <c r="J51" s="1660"/>
      <c r="K51" s="1660"/>
      <c r="L51" s="1660"/>
      <c r="M51" s="1660"/>
      <c r="N51" s="1660"/>
      <c r="O51" s="1660"/>
      <c r="P51" s="1660"/>
      <c r="Q51" s="1660"/>
      <c r="R51" s="1660"/>
      <c r="S51" s="1660"/>
      <c r="T51" s="1660"/>
      <c r="U51" s="1660"/>
      <c r="V51" s="1660"/>
      <c r="W51" s="1660"/>
      <c r="X51" s="1660"/>
      <c r="Y51" s="1660"/>
      <c r="Z51" s="1660"/>
      <c r="AA51" s="1660"/>
      <c r="AB51" s="1660"/>
      <c r="AC51" s="1660"/>
      <c r="AD51" s="1660"/>
      <c r="AE51" s="1660"/>
      <c r="AF51" s="1660"/>
      <c r="AG51" s="1660"/>
      <c r="AH51" s="1660"/>
      <c r="AI51" s="1660"/>
      <c r="AJ51" s="1660"/>
      <c r="AK51" s="1660"/>
      <c r="AL51" s="1660"/>
      <c r="AM51" s="1660"/>
      <c r="AN51" s="1660"/>
      <c r="AO51" s="1660"/>
      <c r="AP51" s="1660"/>
      <c r="AQ51" s="1660"/>
      <c r="AR51" s="1660"/>
      <c r="AS51" s="1660"/>
      <c r="AT51" s="1389"/>
      <c r="AU51" s="1389"/>
      <c r="AV51" s="1389"/>
      <c r="AW51" s="1389"/>
      <c r="AX51" s="1389"/>
      <c r="AY51" s="1389"/>
      <c r="AZ51" s="1389"/>
      <c r="BA51" s="1389"/>
      <c r="BB51" s="1389"/>
      <c r="BC51" s="1536"/>
      <c r="BD51" s="1436"/>
      <c r="BE51" s="1606"/>
      <c r="BF51" s="1"/>
      <c r="BG51" s="1436"/>
      <c r="BH51" s="1436"/>
      <c r="BI51" s="1435"/>
      <c r="BJ51" s="1658"/>
      <c r="BK51" s="1435"/>
      <c r="BL51" s="1435"/>
      <c r="BM51" s="1658"/>
      <c r="BN51" s="1659"/>
      <c r="BO51" s="1436"/>
      <c r="BQ51" s="1435"/>
      <c r="BS51" s="1658"/>
      <c r="BT51" s="1389"/>
      <c r="BU51" s="1389"/>
    </row>
    <row r="52" spans="1:73">
      <c r="A52" s="1690"/>
      <c r="B52" s="1690"/>
      <c r="C52" s="1660"/>
      <c r="D52" s="1690"/>
      <c r="E52" s="1690"/>
      <c r="F52" s="1660"/>
      <c r="G52" s="1691"/>
      <c r="H52" s="1690"/>
      <c r="I52" s="1660"/>
      <c r="J52" s="1660"/>
      <c r="K52" s="1690"/>
      <c r="L52" s="1690"/>
      <c r="M52" s="1690"/>
      <c r="N52" s="1690"/>
      <c r="O52" s="1690"/>
      <c r="P52" s="1690"/>
      <c r="Q52" s="1690"/>
      <c r="R52" s="1690"/>
      <c r="S52" s="1690"/>
      <c r="T52" s="1690"/>
      <c r="U52" s="1690"/>
      <c r="V52" s="1690"/>
      <c r="W52" s="1690"/>
      <c r="X52" s="1690"/>
      <c r="Y52" s="1690"/>
      <c r="Z52" s="1690"/>
      <c r="AA52" s="1690"/>
      <c r="AB52" s="1690"/>
      <c r="AC52" s="1690"/>
      <c r="AD52" s="1690"/>
      <c r="AE52" s="1690"/>
      <c r="AF52" s="1690"/>
      <c r="AG52" s="1690"/>
      <c r="AH52" s="1690"/>
      <c r="AI52" s="1690"/>
      <c r="AJ52" s="1690"/>
      <c r="AK52" s="1690"/>
      <c r="AL52" s="1690"/>
      <c r="AM52" s="1690"/>
      <c r="AN52" s="1690"/>
      <c r="AO52" s="1690"/>
      <c r="AP52" s="1690"/>
      <c r="AQ52" s="1690"/>
      <c r="AR52" s="1690"/>
      <c r="AS52" s="1690"/>
      <c r="BC52" s="1536"/>
      <c r="BD52" s="1436"/>
      <c r="BE52" s="1606"/>
      <c r="BF52" s="1"/>
      <c r="BG52" s="1436"/>
      <c r="BH52" s="1436"/>
      <c r="BI52" s="1435"/>
      <c r="BJ52" s="1658"/>
      <c r="BK52" s="1389"/>
      <c r="BL52" s="1435"/>
      <c r="BM52" s="1658"/>
      <c r="BO52" s="1436"/>
      <c r="BQ52" s="1435"/>
      <c r="BS52" s="1658"/>
      <c r="BT52" s="1389"/>
      <c r="BU52" s="1389"/>
    </row>
    <row r="53" spans="1:73">
      <c r="B53" s="1436"/>
      <c r="C53" s="1435"/>
      <c r="D53" s="1435"/>
      <c r="E53" s="1389"/>
      <c r="F53" s="1435"/>
      <c r="G53" s="1658"/>
      <c r="H53" s="1"/>
      <c r="I53" s="1390"/>
      <c r="J53" s="1389"/>
      <c r="BC53" s="1536"/>
      <c r="BF53" s="1"/>
      <c r="BG53" s="1436"/>
      <c r="BI53" s="1389"/>
      <c r="BM53" s="1389"/>
    </row>
    <row r="54" spans="1:73">
      <c r="C54" s="1692"/>
      <c r="D54" s="1692"/>
      <c r="E54" s="1692"/>
      <c r="F54" s="1692"/>
      <c r="G54" s="1693"/>
      <c r="H54" s="1606"/>
      <c r="I54" s="1692"/>
      <c r="J54" s="1692"/>
      <c r="K54" s="1606"/>
      <c r="L54" s="1606"/>
      <c r="M54" s="1606"/>
      <c r="N54" s="1606"/>
      <c r="O54" s="1606"/>
      <c r="P54" s="1606"/>
      <c r="Q54" s="1606"/>
      <c r="R54" s="1606"/>
      <c r="S54" s="1606"/>
      <c r="T54" s="1606"/>
      <c r="U54" s="1606"/>
      <c r="V54" s="1606"/>
      <c r="W54" s="1606"/>
      <c r="X54" s="1606"/>
      <c r="Y54" s="1606"/>
      <c r="Z54" s="1606"/>
      <c r="AA54" s="1606"/>
      <c r="AB54" s="1606"/>
      <c r="AC54" s="1606"/>
      <c r="AD54" s="1606"/>
      <c r="AE54" s="1606"/>
      <c r="AF54" s="1606"/>
      <c r="AG54" s="1606"/>
      <c r="AH54" s="1606"/>
      <c r="AI54" s="1606"/>
      <c r="AJ54" s="1606"/>
      <c r="AK54" s="1606"/>
      <c r="AL54" s="1606"/>
      <c r="AM54" s="1606"/>
      <c r="AN54" s="1606"/>
      <c r="AO54" s="1606"/>
      <c r="AP54" s="1606"/>
      <c r="AQ54" s="1606"/>
      <c r="AR54" s="1606"/>
      <c r="AS54" s="1606"/>
      <c r="BC54" s="1536"/>
      <c r="BF54" s="1"/>
      <c r="BG54" s="1436"/>
      <c r="BO54" s="1389"/>
    </row>
    <row r="55" spans="1:73">
      <c r="C55" s="1692"/>
      <c r="D55" s="1692"/>
      <c r="E55" s="1692"/>
      <c r="F55" s="1692"/>
      <c r="G55" s="1693"/>
      <c r="H55" s="1606"/>
      <c r="I55" s="1692"/>
      <c r="J55" s="1692"/>
      <c r="K55" s="1606"/>
      <c r="L55" s="1606"/>
      <c r="M55" s="1606"/>
      <c r="N55" s="1606"/>
      <c r="O55" s="1606"/>
      <c r="P55" s="1606"/>
      <c r="Q55" s="1606"/>
      <c r="R55" s="1606"/>
      <c r="S55" s="1606"/>
      <c r="T55" s="1606"/>
      <c r="U55" s="1606"/>
      <c r="V55" s="1606"/>
      <c r="W55" s="1606"/>
      <c r="X55" s="1606"/>
      <c r="Y55" s="1606"/>
      <c r="Z55" s="1606"/>
      <c r="AA55" s="1606"/>
      <c r="AB55" s="1606"/>
      <c r="AC55" s="1606"/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BC55" s="1536"/>
      <c r="BF55" s="1"/>
      <c r="BG55" s="1436"/>
      <c r="BO55" s="1389"/>
    </row>
    <row r="56" spans="1:73">
      <c r="C56" s="1436"/>
      <c r="D56" s="1436"/>
      <c r="E56" s="1389"/>
      <c r="F56" s="1435"/>
      <c r="G56" s="1436"/>
      <c r="H56" s="1"/>
      <c r="I56" s="1390"/>
      <c r="J56" s="1389"/>
      <c r="BC56" s="1536"/>
      <c r="BF56" s="1"/>
      <c r="BG56" s="1436"/>
    </row>
    <row r="57" spans="1:73">
      <c r="C57" s="1435"/>
      <c r="D57" s="1435"/>
      <c r="E57" s="1435"/>
      <c r="F57" s="1435"/>
      <c r="G57" s="1435"/>
      <c r="H57" s="1435"/>
      <c r="I57" s="1435"/>
      <c r="J57" s="1435"/>
      <c r="K57" s="1435"/>
      <c r="L57" s="1435"/>
      <c r="M57" s="1435"/>
      <c r="N57" s="1435"/>
      <c r="O57" s="1435"/>
      <c r="P57" s="1435"/>
      <c r="Q57" s="1435"/>
      <c r="R57" s="1435"/>
      <c r="S57" s="1435"/>
      <c r="T57" s="1435"/>
      <c r="U57" s="1435"/>
      <c r="V57" s="1435"/>
      <c r="W57" s="1435"/>
      <c r="X57" s="1435"/>
      <c r="Y57" s="1435"/>
      <c r="Z57" s="1435"/>
      <c r="AA57" s="1435"/>
      <c r="AB57" s="1435"/>
      <c r="AC57" s="1435"/>
      <c r="AD57" s="1435"/>
      <c r="AE57" s="1435"/>
      <c r="AF57" s="1435"/>
      <c r="AG57" s="1435"/>
      <c r="AH57" s="1435"/>
      <c r="AI57" s="1435"/>
      <c r="AJ57" s="1435"/>
      <c r="AK57" s="1435"/>
      <c r="AL57" s="1435"/>
      <c r="AM57" s="1435"/>
      <c r="AN57" s="1435"/>
      <c r="AO57" s="1435"/>
      <c r="AP57" s="1435"/>
      <c r="AQ57" s="1435"/>
      <c r="AR57" s="1435"/>
      <c r="AS57" s="1435"/>
      <c r="BC57" s="1536"/>
      <c r="BF57" s="1"/>
      <c r="BG57" s="1436"/>
    </row>
    <row r="58" spans="1:73">
      <c r="C58" s="1435"/>
      <c r="D58" s="1435"/>
      <c r="E58" s="1435"/>
      <c r="F58" s="1435"/>
      <c r="G58" s="1435"/>
      <c r="H58" s="1435"/>
      <c r="I58" s="1435"/>
      <c r="J58" s="1435"/>
      <c r="K58" s="1435"/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5"/>
      <c r="Y58" s="1435"/>
      <c r="Z58" s="1435"/>
      <c r="AA58" s="1435"/>
      <c r="AB58" s="1435"/>
      <c r="AC58" s="1435"/>
      <c r="AD58" s="1435"/>
      <c r="AE58" s="1435"/>
      <c r="AF58" s="1435"/>
      <c r="AG58" s="1435"/>
      <c r="AH58" s="1435"/>
      <c r="AI58" s="1435"/>
      <c r="AJ58" s="1435"/>
      <c r="AK58" s="1435"/>
      <c r="AL58" s="1435"/>
      <c r="AM58" s="1435"/>
      <c r="AN58" s="1435"/>
      <c r="AO58" s="1435"/>
      <c r="AP58" s="1435"/>
      <c r="AQ58" s="1435"/>
      <c r="AR58" s="1435"/>
      <c r="AS58" s="1435"/>
      <c r="BC58" s="1536"/>
      <c r="BF58" s="1"/>
      <c r="BG58" s="1436"/>
    </row>
    <row r="59" spans="1:73">
      <c r="C59" s="1436"/>
      <c r="D59" s="1436"/>
      <c r="F59" s="1436"/>
      <c r="G59" s="1436"/>
      <c r="H59" s="1"/>
      <c r="I59" s="1"/>
      <c r="BC59" s="1536"/>
      <c r="BF59" s="1"/>
      <c r="BG59" s="1436"/>
    </row>
    <row r="60" spans="1:73">
      <c r="C60" s="1436"/>
      <c r="D60" s="1436"/>
      <c r="F60" s="1436"/>
      <c r="G60" s="1436"/>
      <c r="H60" s="1"/>
      <c r="I60" s="1"/>
      <c r="BF60" s="1"/>
      <c r="BG60" s="260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45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5"/>
  <sheetViews>
    <sheetView zoomScale="160" zoomScaleNormal="160" workbookViewId="0">
      <pane xSplit="1" ySplit="5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6" sqref="H56"/>
    </sheetView>
  </sheetViews>
  <sheetFormatPr defaultColWidth="9.140625" defaultRowHeight="11.25"/>
  <cols>
    <col min="1" max="1" width="10.28515625" style="1070" customWidth="1"/>
    <col min="2" max="2" width="10.85546875" style="1070" customWidth="1"/>
    <col min="3" max="3" width="11.140625" style="1070" customWidth="1"/>
    <col min="4" max="4" width="11" style="1070" customWidth="1"/>
    <col min="5" max="5" width="11.28515625" style="1070" customWidth="1"/>
    <col min="6" max="6" width="11" style="1070" customWidth="1"/>
    <col min="7" max="7" width="12.42578125" style="1070" customWidth="1"/>
    <col min="8" max="8" width="10.42578125" style="1070" customWidth="1"/>
    <col min="9" max="9" width="10.140625" style="1070" customWidth="1"/>
    <col min="10" max="10" width="10.7109375" style="1070" customWidth="1"/>
    <col min="11" max="11" width="11.85546875" style="1070" customWidth="1"/>
    <col min="12" max="12" width="10.5703125" style="1070" customWidth="1"/>
    <col min="13" max="13" width="9.85546875" style="1070" bestFit="1" customWidth="1"/>
    <col min="14" max="14" width="12.28515625" style="1070" customWidth="1"/>
    <col min="15" max="15" width="8.85546875" style="1070" customWidth="1"/>
    <col min="16" max="16" width="7.7109375" style="1070" customWidth="1"/>
    <col min="17" max="17" width="8.5703125" style="1070" customWidth="1"/>
    <col min="18" max="18" width="8.7109375" style="1070" customWidth="1"/>
    <col min="19" max="19" width="9.140625" style="1070"/>
    <col min="20" max="20" width="9.28515625" style="1070" customWidth="1"/>
    <col min="21" max="21" width="13.7109375" style="1070" customWidth="1"/>
    <col min="22" max="22" width="12.28515625" style="1070" customWidth="1"/>
    <col min="23" max="16384" width="9.140625" style="1070"/>
  </cols>
  <sheetData>
    <row r="1" spans="1:22" s="179" customFormat="1" ht="15" customHeight="1">
      <c r="A1" s="1417"/>
      <c r="B1" s="1417"/>
      <c r="C1" s="1417"/>
      <c r="D1" s="1417"/>
      <c r="E1" s="1417"/>
      <c r="F1" s="2054" t="s">
        <v>127</v>
      </c>
      <c r="G1" s="2054"/>
      <c r="H1" s="2053" t="s">
        <v>126</v>
      </c>
      <c r="I1" s="2053"/>
      <c r="J1" s="178"/>
      <c r="K1" s="178"/>
      <c r="L1" s="2054" t="s">
        <v>470</v>
      </c>
      <c r="M1" s="2054"/>
      <c r="N1" s="2054"/>
      <c r="O1" s="2057" t="s">
        <v>238</v>
      </c>
      <c r="P1" s="2057"/>
      <c r="Q1" s="2057"/>
      <c r="R1" s="2057"/>
      <c r="S1" s="2057"/>
      <c r="T1" s="2054" t="s">
        <v>471</v>
      </c>
      <c r="U1" s="2054"/>
      <c r="V1" s="2054"/>
    </row>
    <row r="2" spans="1:22" s="182" customFormat="1" ht="11.25" customHeight="1">
      <c r="A2" s="180"/>
      <c r="B2" s="180"/>
      <c r="C2" s="180"/>
      <c r="D2" s="181"/>
      <c r="F2" s="1217"/>
      <c r="H2" s="181"/>
      <c r="I2" s="181"/>
      <c r="J2" s="181"/>
      <c r="K2" s="181"/>
      <c r="L2" s="2055" t="s">
        <v>24</v>
      </c>
      <c r="M2" s="2055"/>
      <c r="N2" s="2055"/>
      <c r="O2" s="181"/>
      <c r="P2" s="181"/>
      <c r="Q2" s="183"/>
      <c r="R2" s="183"/>
      <c r="S2" s="183"/>
      <c r="T2" s="183"/>
      <c r="U2" s="2055" t="s">
        <v>24</v>
      </c>
      <c r="V2" s="2055"/>
    </row>
    <row r="3" spans="1:22" s="182" customFormat="1" ht="12.75" customHeight="1">
      <c r="A3" s="2048" t="s">
        <v>524</v>
      </c>
      <c r="B3" s="2059" t="s">
        <v>529</v>
      </c>
      <c r="C3" s="2060"/>
      <c r="D3" s="2061"/>
      <c r="E3" s="2058" t="s">
        <v>360</v>
      </c>
      <c r="F3" s="2058"/>
      <c r="G3" s="2058"/>
      <c r="H3" s="2058" t="s">
        <v>979</v>
      </c>
      <c r="I3" s="2058"/>
      <c r="J3" s="2058"/>
      <c r="K3" s="2056" t="s">
        <v>980</v>
      </c>
      <c r="L3" s="2056"/>
      <c r="M3" s="2056"/>
      <c r="N3" s="2065" t="s">
        <v>1003</v>
      </c>
      <c r="O3" s="1915" t="s">
        <v>524</v>
      </c>
      <c r="P3" s="2067" t="s">
        <v>983</v>
      </c>
      <c r="Q3" s="2059" t="s">
        <v>982</v>
      </c>
      <c r="R3" s="2060"/>
      <c r="S3" s="2060"/>
      <c r="T3" s="2060"/>
      <c r="U3" s="2061"/>
      <c r="V3" s="2062" t="s">
        <v>1393</v>
      </c>
    </row>
    <row r="4" spans="1:22" s="184" customFormat="1" ht="29.25" customHeight="1">
      <c r="A4" s="2049"/>
      <c r="B4" s="1414" t="s">
        <v>1000</v>
      </c>
      <c r="C4" s="1414" t="s">
        <v>1001</v>
      </c>
      <c r="D4" s="1414" t="s">
        <v>1002</v>
      </c>
      <c r="E4" s="1414" t="s">
        <v>530</v>
      </c>
      <c r="F4" s="1414" t="s">
        <v>531</v>
      </c>
      <c r="G4" s="1414" t="s">
        <v>679</v>
      </c>
      <c r="H4" s="1414" t="s">
        <v>530</v>
      </c>
      <c r="I4" s="1414" t="s">
        <v>531</v>
      </c>
      <c r="J4" s="1414" t="s">
        <v>680</v>
      </c>
      <c r="K4" s="1414" t="s">
        <v>532</v>
      </c>
      <c r="L4" s="1414" t="s">
        <v>521</v>
      </c>
      <c r="M4" s="1414" t="s">
        <v>684</v>
      </c>
      <c r="N4" s="2066"/>
      <c r="O4" s="2051"/>
      <c r="P4" s="2068"/>
      <c r="Q4" s="1415" t="s">
        <v>984</v>
      </c>
      <c r="R4" s="1415" t="s">
        <v>826</v>
      </c>
      <c r="S4" s="1415" t="s">
        <v>827</v>
      </c>
      <c r="T4" s="1415" t="s">
        <v>828</v>
      </c>
      <c r="U4" s="1415" t="s">
        <v>686</v>
      </c>
      <c r="V4" s="2063"/>
    </row>
    <row r="5" spans="1:22" s="242" customFormat="1" ht="17.25" customHeight="1">
      <c r="A5" s="2050"/>
      <c r="B5" s="368">
        <v>1</v>
      </c>
      <c r="C5" s="368">
        <v>2</v>
      </c>
      <c r="D5" s="368" t="s">
        <v>683</v>
      </c>
      <c r="E5" s="368">
        <v>4</v>
      </c>
      <c r="F5" s="368">
        <v>5</v>
      </c>
      <c r="G5" s="368" t="s">
        <v>682</v>
      </c>
      <c r="H5" s="368">
        <v>7</v>
      </c>
      <c r="I5" s="368">
        <v>8</v>
      </c>
      <c r="J5" s="368" t="s">
        <v>681</v>
      </c>
      <c r="K5" s="368">
        <v>10</v>
      </c>
      <c r="L5" s="368">
        <v>11</v>
      </c>
      <c r="M5" s="368" t="s">
        <v>685</v>
      </c>
      <c r="N5" s="368" t="s">
        <v>237</v>
      </c>
      <c r="O5" s="2052"/>
      <c r="P5" s="1068">
        <v>14</v>
      </c>
      <c r="Q5" s="1068">
        <v>15</v>
      </c>
      <c r="R5" s="1068">
        <v>16</v>
      </c>
      <c r="S5" s="1068">
        <v>17</v>
      </c>
      <c r="T5" s="1068">
        <v>18</v>
      </c>
      <c r="U5" s="1069" t="s">
        <v>981</v>
      </c>
      <c r="V5" s="2064"/>
    </row>
    <row r="6" spans="1:22" s="203" customFormat="1" ht="11.1" customHeight="1">
      <c r="A6" s="1015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5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1.1" customHeight="1">
      <c r="A7" s="1016" t="s">
        <v>198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6" t="s">
        <v>198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1.1" customHeight="1">
      <c r="A8" s="1015" t="s">
        <v>789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5" t="s">
        <v>789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1.1" customHeight="1">
      <c r="A9" s="1016" t="s">
        <v>1124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6" t="s">
        <v>1124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1.1" customHeight="1">
      <c r="A10" s="1015" t="s">
        <v>1104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5" t="s">
        <v>1104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1.1" customHeight="1">
      <c r="A11" s="1018" t="s">
        <v>1163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8" t="s">
        <v>1163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1.1" customHeight="1">
      <c r="A12" s="1017" t="s">
        <v>1295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7" t="s">
        <v>1295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1.1" customHeight="1">
      <c r="A13" s="1016" t="s">
        <v>1458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6" t="s">
        <v>1458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1.1" customHeight="1">
      <c r="A14" s="1015" t="s">
        <v>1455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5" t="s">
        <v>1455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1.1" customHeight="1">
      <c r="A15" s="1016" t="s">
        <v>1456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6" t="s">
        <v>1456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1.1" customHeight="1">
      <c r="A16" s="1015" t="s">
        <v>1457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5" t="s">
        <v>1457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1.1" customHeight="1">
      <c r="A17" s="1018" t="s">
        <v>1328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8" t="s">
        <v>1328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1.1" customHeight="1">
      <c r="A18" s="1015" t="s">
        <v>1458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5" t="s">
        <v>1458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1.1" customHeight="1">
      <c r="A19" s="1016" t="s">
        <v>1455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6" t="s">
        <v>1455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1.1" customHeight="1">
      <c r="A20" s="1015" t="s">
        <v>1456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5" t="s">
        <v>1456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1.1" customHeight="1">
      <c r="A21" s="1016" t="s">
        <v>1457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6" t="s">
        <v>1457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1.1" customHeight="1">
      <c r="A22" s="1017" t="s">
        <v>1467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7" t="s">
        <v>1467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1.1" customHeight="1">
      <c r="A23" s="1016" t="s">
        <v>1458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6" t="s">
        <v>1458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1.1" customHeight="1">
      <c r="A24" s="1015" t="s">
        <v>1455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5" t="s">
        <v>1455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1.1" customHeight="1">
      <c r="A25" s="1016" t="s">
        <v>1456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6" t="s">
        <v>1456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1.1" customHeight="1">
      <c r="A26" s="1015" t="s">
        <v>1457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5" t="s">
        <v>1457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1.1" customHeight="1">
      <c r="A27" s="1018" t="s">
        <v>1596</v>
      </c>
      <c r="B27" s="1013">
        <f t="shared" ref="B27:N27" si="22">SUM(B28:B31)</f>
        <v>335633.30000000005</v>
      </c>
      <c r="C27" s="1013">
        <f t="shared" si="22"/>
        <v>465793.29999999993</v>
      </c>
      <c r="D27" s="1014">
        <f t="shared" si="22"/>
        <v>-130160</v>
      </c>
      <c r="E27" s="1014">
        <f t="shared" si="22"/>
        <v>50849.100000000006</v>
      </c>
      <c r="F27" s="1014">
        <f t="shared" si="22"/>
        <v>79728</v>
      </c>
      <c r="G27" s="1014">
        <f t="shared" si="22"/>
        <v>-28878.899999999994</v>
      </c>
      <c r="H27" s="1014">
        <f t="shared" si="22"/>
        <v>3522.7999999999997</v>
      </c>
      <c r="I27" s="1014">
        <f t="shared" si="22"/>
        <v>20633.8</v>
      </c>
      <c r="J27" s="1014">
        <f t="shared" si="22"/>
        <v>-17111</v>
      </c>
      <c r="K27" s="1014">
        <f t="shared" si="22"/>
        <v>195</v>
      </c>
      <c r="L27" s="1014">
        <f t="shared" si="22"/>
        <v>142465.79999999999</v>
      </c>
      <c r="M27" s="1014">
        <f t="shared" si="22"/>
        <v>142660.79999999999</v>
      </c>
      <c r="N27" s="1014">
        <f t="shared" si="22"/>
        <v>-33489.099999999984</v>
      </c>
      <c r="O27" s="1018" t="s">
        <v>1596</v>
      </c>
      <c r="P27" s="1013">
        <f t="shared" ref="P27:V27" si="23">SUM(P28:P31)</f>
        <v>1955.5</v>
      </c>
      <c r="Q27" s="1013">
        <f t="shared" si="23"/>
        <v>-22072.3</v>
      </c>
      <c r="R27" s="1013">
        <f t="shared" si="23"/>
        <v>1609.1999999999998</v>
      </c>
      <c r="S27" s="1013">
        <f t="shared" si="23"/>
        <v>-20294.7</v>
      </c>
      <c r="T27" s="1013">
        <f t="shared" si="23"/>
        <v>-831.5</v>
      </c>
      <c r="U27" s="1013">
        <f t="shared" si="23"/>
        <v>-41589.300000000003</v>
      </c>
      <c r="V27" s="1013">
        <f t="shared" si="23"/>
        <v>-10055.700000000017</v>
      </c>
    </row>
    <row r="28" spans="1:22" s="177" customFormat="1" ht="11.1" customHeight="1">
      <c r="A28" s="1015" t="s">
        <v>1458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5" t="s">
        <v>1458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1.1" customHeight="1">
      <c r="A29" s="1016" t="s">
        <v>1455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6" t="s">
        <v>1455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1.1" customHeight="1">
      <c r="A30" s="1015" t="s">
        <v>1456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5" t="s">
        <v>1456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1.1" customHeight="1">
      <c r="A31" s="1016" t="s">
        <v>1457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6" t="s">
        <v>1457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1.1" customHeight="1">
      <c r="A32" s="1017" t="s">
        <v>1691</v>
      </c>
      <c r="B32" s="1047">
        <f t="shared" ref="B32:N32" si="24">SUM(B33:B36)</f>
        <v>280337.59999999998</v>
      </c>
      <c r="C32" s="1196">
        <f t="shared" si="24"/>
        <v>429749</v>
      </c>
      <c r="D32" s="1047">
        <f t="shared" si="24"/>
        <v>-149411.4</v>
      </c>
      <c r="E32" s="1047">
        <f t="shared" si="24"/>
        <v>50747.8</v>
      </c>
      <c r="F32" s="1047">
        <f t="shared" si="24"/>
        <v>72093.8</v>
      </c>
      <c r="G32" s="1196">
        <f t="shared" si="24"/>
        <v>-21346</v>
      </c>
      <c r="H32" s="1047">
        <f t="shared" si="24"/>
        <v>1853.9</v>
      </c>
      <c r="I32" s="1196">
        <f t="shared" si="24"/>
        <v>23355</v>
      </c>
      <c r="J32" s="1047">
        <f t="shared" si="24"/>
        <v>-21501.1</v>
      </c>
      <c r="K32" s="1047">
        <f t="shared" si="24"/>
        <v>163.69999999999999</v>
      </c>
      <c r="L32" s="1047">
        <f t="shared" si="24"/>
        <v>158938.59999999998</v>
      </c>
      <c r="M32" s="1047">
        <f t="shared" si="24"/>
        <v>159102.29999999999</v>
      </c>
      <c r="N32" s="1047">
        <f t="shared" si="24"/>
        <v>-33156.19999999999</v>
      </c>
      <c r="O32" s="1017" t="s">
        <v>1691</v>
      </c>
      <c r="P32" s="1047">
        <f t="shared" ref="P32:V32" si="25">SUM(P33:P36)</f>
        <v>2174.1999999999998</v>
      </c>
      <c r="Q32" s="1047">
        <f t="shared" si="25"/>
        <v>-10783.7</v>
      </c>
      <c r="R32" s="1047">
        <f t="shared" si="25"/>
        <v>-124.90000000000002</v>
      </c>
      <c r="S32" s="1047">
        <f t="shared" si="25"/>
        <v>-55974.5</v>
      </c>
      <c r="T32" s="1047">
        <f t="shared" si="25"/>
        <v>27451.9</v>
      </c>
      <c r="U32" s="1047">
        <f t="shared" si="25"/>
        <v>-39431.200000000004</v>
      </c>
      <c r="V32" s="1047">
        <f t="shared" si="25"/>
        <v>-8449.2000000000135</v>
      </c>
    </row>
    <row r="33" spans="1:22" s="177" customFormat="1" ht="11.1" customHeight="1">
      <c r="A33" s="1016" t="s">
        <v>1458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6" t="s">
        <v>1458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2" si="32">-(N33+P33-U33)</f>
        <v>-396.69999999999982</v>
      </c>
    </row>
    <row r="34" spans="1:22" s="177" customFormat="1" ht="11.1" customHeight="1">
      <c r="A34" s="1015" t="s">
        <v>1455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5" t="s">
        <v>1455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1.1" customHeight="1">
      <c r="A35" s="1016" t="s">
        <v>1456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6" t="s">
        <v>1456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1.1" customHeight="1">
      <c r="A36" s="1015" t="s">
        <v>1457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5" t="s">
        <v>1457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1.1" customHeight="1">
      <c r="A37" s="1018" t="s">
        <v>1760</v>
      </c>
      <c r="B37" s="1014">
        <f>SUM(B38:B41)</f>
        <v>312956.5</v>
      </c>
      <c r="C37" s="1013">
        <f t="shared" ref="C37:N37" si="33">SUM(C38:C41)</f>
        <v>514608.8</v>
      </c>
      <c r="D37" s="1014">
        <f t="shared" si="33"/>
        <v>-201652.3</v>
      </c>
      <c r="E37" s="1014">
        <f t="shared" si="33"/>
        <v>63459.3</v>
      </c>
      <c r="F37" s="1014">
        <f t="shared" si="33"/>
        <v>87684</v>
      </c>
      <c r="G37" s="1014">
        <f t="shared" si="33"/>
        <v>-24224.699999999997</v>
      </c>
      <c r="H37" s="1014">
        <f t="shared" si="33"/>
        <v>2059.5</v>
      </c>
      <c r="I37" s="1014">
        <f t="shared" si="33"/>
        <v>24609.199999999997</v>
      </c>
      <c r="J37" s="1014">
        <f t="shared" si="33"/>
        <v>-22549.7</v>
      </c>
      <c r="K37" s="1014">
        <f t="shared" si="33"/>
        <v>278.10000000000002</v>
      </c>
      <c r="L37" s="1014">
        <f t="shared" si="33"/>
        <v>214737</v>
      </c>
      <c r="M37" s="1014">
        <f t="shared" si="33"/>
        <v>215015.1</v>
      </c>
      <c r="N37" s="1014">
        <f t="shared" si="33"/>
        <v>-33411.599999999977</v>
      </c>
      <c r="O37" s="1019" t="s">
        <v>1760</v>
      </c>
      <c r="P37" s="1013">
        <f t="shared" ref="P37:V37" si="34">SUM(P38:P41)</f>
        <v>1872.6999999999998</v>
      </c>
      <c r="Q37" s="1013">
        <f t="shared" si="34"/>
        <v>-11488.099999999999</v>
      </c>
      <c r="R37" s="1013">
        <f t="shared" si="34"/>
        <v>2917.3</v>
      </c>
      <c r="S37" s="1013">
        <f t="shared" si="34"/>
        <v>-107518.20000000001</v>
      </c>
      <c r="T37" s="1013">
        <f t="shared" si="34"/>
        <v>84686.399999999994</v>
      </c>
      <c r="U37" s="1013">
        <f t="shared" si="34"/>
        <v>-31402.6</v>
      </c>
      <c r="V37" s="1013">
        <f t="shared" si="34"/>
        <v>136.29999999997744</v>
      </c>
    </row>
    <row r="38" spans="1:22" s="177" customFormat="1" ht="11.1" customHeight="1">
      <c r="A38" s="1015" t="s">
        <v>1458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5" t="s">
        <v>1458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1.1" customHeight="1">
      <c r="A39" s="1016" t="s">
        <v>1455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6" t="s">
        <v>1455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1.1" customHeight="1">
      <c r="A40" s="1015" t="s">
        <v>1456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5" t="s">
        <v>1456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1.1" customHeight="1">
      <c r="A41" s="1016" t="s">
        <v>1457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6" t="s">
        <v>1457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1.1" customHeight="1">
      <c r="A42" s="1197" t="s">
        <v>2160</v>
      </c>
      <c r="B42" s="1196">
        <f>SUM(B43:B46)</f>
        <v>425479.5</v>
      </c>
      <c r="C42" s="1047">
        <f t="shared" ref="C42:N42" si="35">SUM(C43:C46)</f>
        <v>712444.7</v>
      </c>
      <c r="D42" s="1196">
        <f t="shared" si="35"/>
        <v>-286965.19999999995</v>
      </c>
      <c r="E42" s="1196">
        <f t="shared" si="35"/>
        <v>86166</v>
      </c>
      <c r="F42" s="1196">
        <f t="shared" si="35"/>
        <v>117554.3</v>
      </c>
      <c r="G42" s="1196">
        <f t="shared" si="35"/>
        <v>-31388.300000000007</v>
      </c>
      <c r="H42" s="1196">
        <f t="shared" si="35"/>
        <v>3226.7999999999997</v>
      </c>
      <c r="I42" s="1196">
        <f t="shared" si="35"/>
        <v>26478.7</v>
      </c>
      <c r="J42" s="1196">
        <f t="shared" si="35"/>
        <v>-23251.9</v>
      </c>
      <c r="K42" s="1196">
        <f t="shared" si="35"/>
        <v>148.9</v>
      </c>
      <c r="L42" s="1196">
        <f t="shared" si="35"/>
        <v>186953.8</v>
      </c>
      <c r="M42" s="1196">
        <f t="shared" si="35"/>
        <v>187102.7</v>
      </c>
      <c r="N42" s="1196">
        <f t="shared" si="35"/>
        <v>-154502.70000000001</v>
      </c>
      <c r="O42" s="1197" t="s">
        <v>2160</v>
      </c>
      <c r="P42" s="1047">
        <f t="shared" ref="P42:V42" si="36">SUM(P43:P46)</f>
        <v>1669.8</v>
      </c>
      <c r="Q42" s="1047">
        <f t="shared" si="36"/>
        <v>-15705.4</v>
      </c>
      <c r="R42" s="1047">
        <f t="shared" si="36"/>
        <v>3088.3</v>
      </c>
      <c r="S42" s="1047">
        <f t="shared" si="36"/>
        <v>-128038.5</v>
      </c>
      <c r="T42" s="1047">
        <f t="shared" si="36"/>
        <v>-31690.5</v>
      </c>
      <c r="U42" s="1047">
        <f t="shared" si="36"/>
        <v>-172346.1</v>
      </c>
      <c r="V42" s="1047">
        <f t="shared" si="36"/>
        <v>-19513.200000000008</v>
      </c>
    </row>
    <row r="43" spans="1:22" s="177" customFormat="1" ht="11.1" customHeight="1">
      <c r="A43" s="1016" t="s">
        <v>1458</v>
      </c>
      <c r="B43" s="317">
        <v>89664.6</v>
      </c>
      <c r="C43" s="317">
        <v>147272.4</v>
      </c>
      <c r="D43" s="317">
        <f t="shared" ref="D43:D52" si="37">B43-C43</f>
        <v>-57607.799999999988</v>
      </c>
      <c r="E43" s="317">
        <v>18439.400000000001</v>
      </c>
      <c r="F43" s="317">
        <v>23105.200000000001</v>
      </c>
      <c r="G43" s="317">
        <f t="shared" ref="G43:G52" si="38">E43-F43</f>
        <v>-4665.7999999999993</v>
      </c>
      <c r="H43" s="317">
        <v>846.7</v>
      </c>
      <c r="I43" s="317">
        <v>6387.1</v>
      </c>
      <c r="J43" s="317">
        <f t="shared" ref="J43:J52" si="39">H43-I43</f>
        <v>-5540.4000000000005</v>
      </c>
      <c r="K43" s="317">
        <v>59.4</v>
      </c>
      <c r="L43" s="317">
        <v>47187.6</v>
      </c>
      <c r="M43" s="317">
        <f t="shared" ref="M43:M52" si="40">K43+L43</f>
        <v>47247</v>
      </c>
      <c r="N43" s="317">
        <f t="shared" ref="N43:N52" si="41">D43+G43+J43+M43</f>
        <v>-20566.999999999985</v>
      </c>
      <c r="O43" s="1016" t="s">
        <v>1458</v>
      </c>
      <c r="P43" s="317">
        <v>581.1</v>
      </c>
      <c r="Q43" s="317">
        <v>-3184.2</v>
      </c>
      <c r="R43" s="317">
        <v>817</v>
      </c>
      <c r="S43" s="317">
        <v>-24155</v>
      </c>
      <c r="T43" s="317">
        <v>-267.39999999999998</v>
      </c>
      <c r="U43" s="317">
        <f t="shared" ref="U43:U52" si="42">Q43+R43+S43+T43</f>
        <v>-26789.600000000002</v>
      </c>
      <c r="V43" s="317">
        <f t="shared" si="32"/>
        <v>-6803.7000000000153</v>
      </c>
    </row>
    <row r="44" spans="1:22" s="177" customFormat="1" ht="11.1" customHeight="1">
      <c r="A44" s="1015" t="s">
        <v>1455</v>
      </c>
      <c r="B44" s="252">
        <v>109026.4</v>
      </c>
      <c r="C44" s="252">
        <v>185613.8</v>
      </c>
      <c r="D44" s="252">
        <f t="shared" si="37"/>
        <v>-76587.399999999994</v>
      </c>
      <c r="E44" s="252">
        <v>22341.8</v>
      </c>
      <c r="F44" s="252">
        <v>30961.9</v>
      </c>
      <c r="G44" s="252">
        <f t="shared" si="38"/>
        <v>-8620.1000000000022</v>
      </c>
      <c r="H44" s="252">
        <v>603.79999999999995</v>
      </c>
      <c r="I44" s="252">
        <v>5996.4</v>
      </c>
      <c r="J44" s="252">
        <f t="shared" si="39"/>
        <v>-5392.5999999999995</v>
      </c>
      <c r="K44" s="252">
        <v>45.7</v>
      </c>
      <c r="L44" s="252">
        <v>42860.4</v>
      </c>
      <c r="M44" s="252">
        <f t="shared" si="40"/>
        <v>42906.1</v>
      </c>
      <c r="N44" s="252">
        <f t="shared" si="41"/>
        <v>-47694.000000000007</v>
      </c>
      <c r="O44" s="1015" t="s">
        <v>1455</v>
      </c>
      <c r="P44" s="252">
        <v>606.4</v>
      </c>
      <c r="Q44" s="252">
        <v>-6373.6</v>
      </c>
      <c r="R44" s="252">
        <v>570.1</v>
      </c>
      <c r="S44" s="252">
        <v>-40831.5</v>
      </c>
      <c r="T44" s="252">
        <v>-148</v>
      </c>
      <c r="U44" s="252">
        <f t="shared" si="42"/>
        <v>-46783</v>
      </c>
      <c r="V44" s="252">
        <f t="shared" si="32"/>
        <v>304.60000000000582</v>
      </c>
    </row>
    <row r="45" spans="1:22" s="177" customFormat="1" ht="11.1" customHeight="1">
      <c r="A45" s="1016" t="s">
        <v>1456</v>
      </c>
      <c r="B45" s="317">
        <v>113777</v>
      </c>
      <c r="C45" s="317">
        <v>193965.9</v>
      </c>
      <c r="D45" s="317">
        <f t="shared" si="37"/>
        <v>-80188.899999999994</v>
      </c>
      <c r="E45" s="317">
        <v>21237.8</v>
      </c>
      <c r="F45" s="317">
        <v>29981.4</v>
      </c>
      <c r="G45" s="317">
        <f t="shared" si="38"/>
        <v>-8743.6000000000022</v>
      </c>
      <c r="H45" s="317">
        <v>909.2</v>
      </c>
      <c r="I45" s="317">
        <v>7264.9</v>
      </c>
      <c r="J45" s="317">
        <f t="shared" si="39"/>
        <v>-6355.7</v>
      </c>
      <c r="K45" s="317">
        <v>24</v>
      </c>
      <c r="L45" s="317">
        <v>44590.5</v>
      </c>
      <c r="M45" s="317">
        <f t="shared" si="40"/>
        <v>44614.5</v>
      </c>
      <c r="N45" s="317">
        <f t="shared" si="41"/>
        <v>-50673.7</v>
      </c>
      <c r="O45" s="1016" t="s">
        <v>1456</v>
      </c>
      <c r="P45" s="317">
        <v>239.3</v>
      </c>
      <c r="Q45" s="317">
        <v>-4441.8999999999996</v>
      </c>
      <c r="R45" s="317">
        <v>590.70000000000005</v>
      </c>
      <c r="S45" s="317">
        <v>-33771.199999999997</v>
      </c>
      <c r="T45" s="317">
        <v>-16767.2</v>
      </c>
      <c r="U45" s="317">
        <f t="shared" si="42"/>
        <v>-54389.599999999991</v>
      </c>
      <c r="V45" s="317">
        <f t="shared" si="32"/>
        <v>-3955.1999999999971</v>
      </c>
    </row>
    <row r="46" spans="1:22" s="177" customFormat="1" ht="11.1" customHeight="1">
      <c r="A46" s="1015" t="s">
        <v>1457</v>
      </c>
      <c r="B46" s="252">
        <v>113011.5</v>
      </c>
      <c r="C46" s="252">
        <v>185592.6</v>
      </c>
      <c r="D46" s="252">
        <f t="shared" si="37"/>
        <v>-72581.100000000006</v>
      </c>
      <c r="E46" s="252">
        <v>24147</v>
      </c>
      <c r="F46" s="252">
        <v>33505.800000000003</v>
      </c>
      <c r="G46" s="252">
        <f t="shared" si="38"/>
        <v>-9358.8000000000029</v>
      </c>
      <c r="H46" s="252">
        <v>867.1</v>
      </c>
      <c r="I46" s="252">
        <v>6830.3</v>
      </c>
      <c r="J46" s="252">
        <f t="shared" si="39"/>
        <v>-5963.2</v>
      </c>
      <c r="K46" s="252">
        <v>19.8</v>
      </c>
      <c r="L46" s="252">
        <v>52315.3</v>
      </c>
      <c r="M46" s="252">
        <f t="shared" si="40"/>
        <v>52335.100000000006</v>
      </c>
      <c r="N46" s="252">
        <f t="shared" si="41"/>
        <v>-35568</v>
      </c>
      <c r="O46" s="1015" t="s">
        <v>1457</v>
      </c>
      <c r="P46" s="252">
        <v>243</v>
      </c>
      <c r="Q46" s="252">
        <v>-1705.7</v>
      </c>
      <c r="R46" s="252">
        <v>1110.5</v>
      </c>
      <c r="S46" s="252">
        <v>-29280.799999999999</v>
      </c>
      <c r="T46" s="252">
        <v>-14507.9</v>
      </c>
      <c r="U46" s="252">
        <f t="shared" si="42"/>
        <v>-44383.9</v>
      </c>
      <c r="V46" s="252">
        <f t="shared" si="32"/>
        <v>-9058.9000000000015</v>
      </c>
    </row>
    <row r="47" spans="1:22" s="177" customFormat="1" ht="11.1" customHeight="1">
      <c r="A47" s="1018" t="s">
        <v>2476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8" t="s">
        <v>2476</v>
      </c>
      <c r="P47" s="317"/>
      <c r="Q47" s="317"/>
      <c r="R47" s="317"/>
      <c r="S47" s="317"/>
      <c r="T47" s="317"/>
      <c r="U47" s="317"/>
      <c r="V47" s="317"/>
    </row>
    <row r="48" spans="1:22" s="177" customFormat="1" ht="11.1" customHeight="1">
      <c r="A48" s="1015" t="s">
        <v>603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5" t="s">
        <v>603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1.1" customHeight="1">
      <c r="A49" s="1016" t="s">
        <v>604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6" t="s">
        <v>604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1.1" customHeight="1">
      <c r="A50" s="1015" t="s">
        <v>598</v>
      </c>
      <c r="B50" s="252">
        <v>35016.300000000003</v>
      </c>
      <c r="C50" s="252">
        <v>63641.8</v>
      </c>
      <c r="D50" s="252">
        <f t="shared" si="37"/>
        <v>-28625.5</v>
      </c>
      <c r="E50" s="252">
        <v>7577.4</v>
      </c>
      <c r="F50" s="252">
        <v>10569.1</v>
      </c>
      <c r="G50" s="252">
        <f t="shared" si="38"/>
        <v>-2991.7000000000007</v>
      </c>
      <c r="H50" s="252">
        <v>342.7</v>
      </c>
      <c r="I50" s="252">
        <v>2989.3</v>
      </c>
      <c r="J50" s="252">
        <f t="shared" si="39"/>
        <v>-2646.6000000000004</v>
      </c>
      <c r="K50" s="252">
        <v>124.4</v>
      </c>
      <c r="L50" s="252">
        <v>15080.5</v>
      </c>
      <c r="M50" s="252">
        <f t="shared" si="40"/>
        <v>15204.9</v>
      </c>
      <c r="N50" s="252">
        <f t="shared" si="41"/>
        <v>-19058.900000000001</v>
      </c>
      <c r="O50" s="1015" t="s">
        <v>598</v>
      </c>
      <c r="P50" s="252">
        <v>65.099999999999994</v>
      </c>
      <c r="Q50" s="252">
        <v>-1114.3</v>
      </c>
      <c r="R50" s="252">
        <v>432.2</v>
      </c>
      <c r="S50" s="252">
        <v>2726.7</v>
      </c>
      <c r="T50" s="252">
        <v>-21190.5</v>
      </c>
      <c r="U50" s="252">
        <f t="shared" si="42"/>
        <v>-19145.900000000001</v>
      </c>
      <c r="V50" s="252">
        <f t="shared" si="32"/>
        <v>-152.09999999999854</v>
      </c>
    </row>
    <row r="51" spans="1:22" s="177" customFormat="1" ht="11.1" customHeight="1">
      <c r="A51" s="1016" t="s">
        <v>605</v>
      </c>
      <c r="B51" s="317">
        <v>39782.800000000003</v>
      </c>
      <c r="C51" s="317">
        <v>59531.7</v>
      </c>
      <c r="D51" s="317">
        <f t="shared" si="37"/>
        <v>-19748.899999999994</v>
      </c>
      <c r="E51" s="317">
        <v>6908.9</v>
      </c>
      <c r="F51" s="317">
        <v>9488.7999999999993</v>
      </c>
      <c r="G51" s="317">
        <f t="shared" si="38"/>
        <v>-2579.8999999999996</v>
      </c>
      <c r="H51" s="317">
        <v>403.7</v>
      </c>
      <c r="I51" s="317">
        <v>1696.8</v>
      </c>
      <c r="J51" s="317">
        <f t="shared" si="39"/>
        <v>-1293.0999999999999</v>
      </c>
      <c r="K51" s="317">
        <v>28.1</v>
      </c>
      <c r="L51" s="317">
        <v>15256.6</v>
      </c>
      <c r="M51" s="317">
        <f t="shared" si="40"/>
        <v>15284.7</v>
      </c>
      <c r="N51" s="317">
        <f t="shared" si="41"/>
        <v>-8337.1999999999935</v>
      </c>
      <c r="O51" s="1016" t="s">
        <v>605</v>
      </c>
      <c r="P51" s="317">
        <v>373.6</v>
      </c>
      <c r="Q51" s="317">
        <v>-1091.3</v>
      </c>
      <c r="R51" s="317">
        <v>150.80000000000001</v>
      </c>
      <c r="S51" s="317">
        <v>-2255.8000000000002</v>
      </c>
      <c r="T51" s="317">
        <v>-7973.3</v>
      </c>
      <c r="U51" s="317">
        <f t="shared" si="42"/>
        <v>-11169.6</v>
      </c>
      <c r="V51" s="317">
        <f t="shared" si="32"/>
        <v>-3206.0000000000073</v>
      </c>
    </row>
    <row r="52" spans="1:22" s="177" customFormat="1" ht="11.1" customHeight="1" thickBot="1">
      <c r="A52" s="1717" t="s">
        <v>606</v>
      </c>
      <c r="B52" s="692">
        <v>47165.3</v>
      </c>
      <c r="C52" s="692">
        <v>68613.399999999994</v>
      </c>
      <c r="D52" s="692">
        <f t="shared" si="37"/>
        <v>-21448.099999999991</v>
      </c>
      <c r="E52" s="692">
        <v>6472.3</v>
      </c>
      <c r="F52" s="692">
        <v>10513.5</v>
      </c>
      <c r="G52" s="692">
        <f t="shared" si="38"/>
        <v>-4041.2</v>
      </c>
      <c r="H52" s="692">
        <v>334.1</v>
      </c>
      <c r="I52" s="692">
        <v>1796.2</v>
      </c>
      <c r="J52" s="692">
        <f t="shared" si="39"/>
        <v>-1462.1</v>
      </c>
      <c r="K52" s="692">
        <v>15.6</v>
      </c>
      <c r="L52" s="692">
        <v>16198</v>
      </c>
      <c r="M52" s="692">
        <f t="shared" si="40"/>
        <v>16213.6</v>
      </c>
      <c r="N52" s="692">
        <f t="shared" si="41"/>
        <v>-10737.79999999999</v>
      </c>
      <c r="O52" s="1717" t="s">
        <v>606</v>
      </c>
      <c r="P52" s="692">
        <v>206.8</v>
      </c>
      <c r="Q52" s="692">
        <v>-1590.4</v>
      </c>
      <c r="R52" s="692">
        <v>220.8</v>
      </c>
      <c r="S52" s="692">
        <v>12504.4</v>
      </c>
      <c r="T52" s="692">
        <v>-22610.6</v>
      </c>
      <c r="U52" s="692">
        <f t="shared" si="42"/>
        <v>-11475.8</v>
      </c>
      <c r="V52" s="692">
        <f t="shared" si="32"/>
        <v>-944.80000000000837</v>
      </c>
    </row>
    <row r="53" spans="1:22" s="177" customFormat="1">
      <c r="A53" s="186" t="s">
        <v>1519</v>
      </c>
      <c r="B53" s="1954" t="s">
        <v>1434</v>
      </c>
      <c r="C53" s="1954"/>
      <c r="D53" s="1954"/>
      <c r="E53" s="1954"/>
      <c r="F53" s="1954"/>
      <c r="G53" s="1954"/>
      <c r="H53" s="187" t="s">
        <v>16</v>
      </c>
      <c r="I53" s="1922" t="s">
        <v>1433</v>
      </c>
      <c r="J53" s="1922"/>
      <c r="K53" s="1922"/>
      <c r="L53" s="1922"/>
      <c r="M53" s="1416"/>
      <c r="N53" s="1416"/>
      <c r="O53" s="107" t="s">
        <v>786</v>
      </c>
      <c r="P53" s="188" t="s">
        <v>1520</v>
      </c>
      <c r="Q53" s="188"/>
      <c r="R53" s="188"/>
      <c r="S53" s="188"/>
      <c r="T53" s="188"/>
      <c r="U53" s="188"/>
      <c r="V53" s="188"/>
    </row>
    <row r="54" spans="1:22" s="177" customFormat="1">
      <c r="A54" s="175"/>
      <c r="B54" s="188" t="s">
        <v>269</v>
      </c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88" t="s">
        <v>1521</v>
      </c>
      <c r="Q54" s="188"/>
      <c r="R54" s="188"/>
      <c r="S54" s="188"/>
      <c r="T54" s="188"/>
      <c r="U54" s="188"/>
      <c r="V54" s="188"/>
    </row>
    <row r="55" spans="1:22" s="177" customFormat="1">
      <c r="P55" s="188" t="s">
        <v>269</v>
      </c>
    </row>
    <row r="56" spans="1:22" s="177" customFormat="1">
      <c r="Q56" s="512"/>
    </row>
    <row r="57" spans="1:22" s="177" customFormat="1">
      <c r="G57" s="189"/>
    </row>
    <row r="58" spans="1:22" s="177" customFormat="1"/>
    <row r="59" spans="1:22" s="177" customFormat="1"/>
    <row r="60" spans="1:22" s="177" customFormat="1"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</row>
    <row r="61" spans="1:22" s="177" customFormat="1">
      <c r="V61" s="189"/>
    </row>
    <row r="62" spans="1:22" s="177" customFormat="1">
      <c r="G62" s="189"/>
    </row>
    <row r="63" spans="1:22" s="177" customFormat="1"/>
    <row r="64" spans="1:22" s="177" customFormat="1"/>
    <row r="65" spans="7:7" s="177" customFormat="1"/>
    <row r="66" spans="7:7" s="177" customFormat="1"/>
    <row r="67" spans="7:7" s="177" customFormat="1"/>
    <row r="68" spans="7:7" s="177" customFormat="1"/>
    <row r="69" spans="7:7" s="177" customFormat="1"/>
    <row r="70" spans="7:7" s="177" customFormat="1"/>
    <row r="71" spans="7:7" s="177" customFormat="1"/>
    <row r="72" spans="7:7" s="177" customFormat="1">
      <c r="G72" s="189"/>
    </row>
    <row r="73" spans="7:7" s="177" customFormat="1"/>
    <row r="74" spans="7:7" s="177" customFormat="1"/>
    <row r="75" spans="7:7" s="177" customFormat="1"/>
    <row r="76" spans="7:7" s="177" customFormat="1"/>
    <row r="77" spans="7:7" s="177" customFormat="1"/>
    <row r="78" spans="7:7" s="177" customFormat="1"/>
    <row r="79" spans="7:7" s="177" customFormat="1"/>
    <row r="80" spans="7:7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 s="177" customFormat="1"/>
    <row r="164" spans="1:2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</row>
    <row r="165" spans="1:2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</row>
    <row r="166" spans="1:2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</row>
    <row r="167" spans="1:2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</row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  <row r="175" spans="1:2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B53:G53"/>
    <mergeCell ref="I53:L53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45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4"/>
  <sheetViews>
    <sheetView zoomScale="160" zoomScaleNormal="16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J46" sqref="J46"/>
    </sheetView>
  </sheetViews>
  <sheetFormatPr defaultRowHeight="12.75"/>
  <cols>
    <col min="1" max="1" width="7.85546875" style="1369" customWidth="1"/>
    <col min="2" max="2" width="8.28515625" style="1369" customWidth="1"/>
    <col min="3" max="3" width="9.42578125" style="1369" customWidth="1"/>
    <col min="4" max="4" width="9.140625" style="1369"/>
    <col min="5" max="6" width="8.28515625" style="1369" customWidth="1"/>
    <col min="7" max="7" width="9.140625" style="1369"/>
    <col min="8" max="8" width="8.5703125" style="1369" customWidth="1"/>
    <col min="9" max="9" width="9.85546875" style="1369" customWidth="1"/>
    <col min="10" max="16384" width="9.140625" style="1369"/>
  </cols>
  <sheetData>
    <row r="1" spans="1:9" ht="15.75" customHeight="1">
      <c r="A1" s="2071" t="s">
        <v>1394</v>
      </c>
      <c r="B1" s="2071"/>
      <c r="C1" s="2071"/>
      <c r="D1" s="2071"/>
      <c r="E1" s="2071"/>
      <c r="F1" s="2071"/>
      <c r="G1" s="2071"/>
      <c r="H1" s="158"/>
      <c r="I1" s="159" t="s">
        <v>344</v>
      </c>
    </row>
    <row r="2" spans="1:9" ht="15" customHeight="1">
      <c r="A2" s="2071"/>
      <c r="B2" s="2071"/>
      <c r="C2" s="2071"/>
      <c r="D2" s="2071"/>
      <c r="E2" s="2071"/>
      <c r="F2" s="2071"/>
      <c r="G2" s="2071"/>
      <c r="H2" s="158"/>
    </row>
    <row r="3" spans="1:9" ht="10.5" customHeight="1">
      <c r="A3" s="1263"/>
      <c r="B3" s="1264"/>
      <c r="C3" s="1264"/>
      <c r="D3" s="1264"/>
      <c r="F3" s="1134"/>
      <c r="H3" s="2072" t="s">
        <v>0</v>
      </c>
      <c r="I3" s="2072"/>
    </row>
    <row r="4" spans="1:9" s="160" customFormat="1" ht="12.95" customHeight="1">
      <c r="A4" s="2073" t="s">
        <v>524</v>
      </c>
      <c r="B4" s="2075" t="s">
        <v>363</v>
      </c>
      <c r="C4" s="2076"/>
      <c r="D4" s="2076"/>
      <c r="E4" s="2077"/>
      <c r="F4" s="2075" t="s">
        <v>364</v>
      </c>
      <c r="G4" s="2076"/>
      <c r="H4" s="2076"/>
      <c r="I4" s="2077"/>
    </row>
    <row r="5" spans="1:9" ht="36">
      <c r="A5" s="2074"/>
      <c r="B5" s="1135" t="s">
        <v>845</v>
      </c>
      <c r="C5" s="1135" t="s">
        <v>867</v>
      </c>
      <c r="D5" s="1135" t="s">
        <v>869</v>
      </c>
      <c r="E5" s="910" t="s">
        <v>365</v>
      </c>
      <c r="F5" s="1135" t="s">
        <v>846</v>
      </c>
      <c r="G5" s="1135" t="s">
        <v>870</v>
      </c>
      <c r="H5" s="1135" t="s">
        <v>868</v>
      </c>
      <c r="I5" s="910" t="s">
        <v>366</v>
      </c>
    </row>
    <row r="6" spans="1:9" s="56" customFormat="1" ht="14.1" customHeight="1">
      <c r="A6" s="344" t="s">
        <v>81</v>
      </c>
      <c r="B6" s="973">
        <v>515.14</v>
      </c>
      <c r="C6" s="973">
        <v>331.1</v>
      </c>
      <c r="D6" s="973">
        <v>66.78</v>
      </c>
      <c r="E6" s="973">
        <v>913.02</v>
      </c>
      <c r="F6" s="973">
        <v>5014.96</v>
      </c>
      <c r="G6" s="973">
        <v>544.21</v>
      </c>
      <c r="H6" s="973">
        <v>410.29</v>
      </c>
      <c r="I6" s="975">
        <v>5969.46</v>
      </c>
    </row>
    <row r="7" spans="1:9" s="46" customFormat="1" ht="14.1" customHeight="1">
      <c r="A7" s="163" t="s">
        <v>198</v>
      </c>
      <c r="B7" s="977">
        <v>249.95</v>
      </c>
      <c r="C7" s="977">
        <v>445.19</v>
      </c>
      <c r="D7" s="977">
        <v>83.9</v>
      </c>
      <c r="E7" s="971">
        <v>779.04</v>
      </c>
      <c r="F7" s="977">
        <v>5143.7</v>
      </c>
      <c r="G7" s="977">
        <v>612.69000000000005</v>
      </c>
      <c r="H7" s="977">
        <v>462.67</v>
      </c>
      <c r="I7" s="972">
        <v>6219.0599999999995</v>
      </c>
    </row>
    <row r="8" spans="1:9" s="46" customFormat="1" ht="14.1" customHeight="1">
      <c r="A8" s="344" t="s">
        <v>789</v>
      </c>
      <c r="B8" s="973">
        <v>454.09999999999997</v>
      </c>
      <c r="C8" s="973">
        <v>542.34999999999991</v>
      </c>
      <c r="D8" s="973">
        <v>198.42999999999998</v>
      </c>
      <c r="E8" s="973">
        <v>1194.8799999999999</v>
      </c>
      <c r="F8" s="973">
        <v>4855.47</v>
      </c>
      <c r="G8" s="973">
        <v>861.44</v>
      </c>
      <c r="H8" s="973">
        <v>533.95000000000005</v>
      </c>
      <c r="I8" s="975">
        <v>6250.86</v>
      </c>
    </row>
    <row r="9" spans="1:9" s="46" customFormat="1" ht="14.1" customHeight="1">
      <c r="A9" s="620" t="s">
        <v>905</v>
      </c>
      <c r="B9" s="977">
        <v>761.03</v>
      </c>
      <c r="C9" s="977">
        <v>645.64</v>
      </c>
      <c r="D9" s="977">
        <v>323.96000000000004</v>
      </c>
      <c r="E9" s="971">
        <v>1730.63</v>
      </c>
      <c r="F9" s="977">
        <v>6333.41</v>
      </c>
      <c r="G9" s="977">
        <v>995.87</v>
      </c>
      <c r="H9" s="977">
        <v>1033.78</v>
      </c>
      <c r="I9" s="972">
        <v>8363.06</v>
      </c>
    </row>
    <row r="10" spans="1:9" s="46" customFormat="1" ht="14.1" customHeight="1">
      <c r="A10" s="344" t="s">
        <v>1104</v>
      </c>
      <c r="B10" s="973">
        <v>233.83999999999997</v>
      </c>
      <c r="C10" s="973">
        <v>795.78</v>
      </c>
      <c r="D10" s="973">
        <v>450.71999999999997</v>
      </c>
      <c r="E10" s="973">
        <v>1480.34</v>
      </c>
      <c r="F10" s="973">
        <v>6375.35</v>
      </c>
      <c r="G10" s="973">
        <v>964.83</v>
      </c>
      <c r="H10" s="973">
        <v>2000.05</v>
      </c>
      <c r="I10" s="975">
        <v>9340.23</v>
      </c>
    </row>
    <row r="11" spans="1:9" s="46" customFormat="1" ht="14.1" customHeight="1">
      <c r="A11" s="620" t="s">
        <v>1163</v>
      </c>
      <c r="B11" s="977">
        <v>528.03</v>
      </c>
      <c r="C11" s="977">
        <v>1141.3400000000001</v>
      </c>
      <c r="D11" s="977">
        <v>164.5</v>
      </c>
      <c r="E11" s="971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4.1" customHeight="1">
      <c r="A12" s="663" t="s">
        <v>1295</v>
      </c>
      <c r="B12" s="978">
        <v>505.55</v>
      </c>
      <c r="C12" s="978">
        <v>1154.4499999999998</v>
      </c>
      <c r="D12" s="978">
        <v>343.53</v>
      </c>
      <c r="E12" s="978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4.1" customHeight="1">
      <c r="A13" s="261" t="s">
        <v>1328</v>
      </c>
      <c r="B13" s="976">
        <f>B14+B15+B16+B17</f>
        <v>1006.74</v>
      </c>
      <c r="C13" s="976">
        <f t="shared" ref="C13:E13" si="0">C14+C15+C16+C17</f>
        <v>1253</v>
      </c>
      <c r="D13" s="976">
        <f t="shared" si="0"/>
        <v>195.07</v>
      </c>
      <c r="E13" s="976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80">
        <f t="shared" ref="I13" si="1">SUM(F13:H13)</f>
        <v>14466.57</v>
      </c>
    </row>
    <row r="14" spans="1:9" s="46" customFormat="1" ht="14.1" customHeight="1">
      <c r="A14" s="652" t="s">
        <v>1308</v>
      </c>
      <c r="B14" s="973">
        <v>258.52</v>
      </c>
      <c r="C14" s="973">
        <v>294.55</v>
      </c>
      <c r="D14" s="973">
        <v>60.92</v>
      </c>
      <c r="E14" s="973">
        <f t="shared" ref="E14:E42" si="2">SUM(B14:D14)</f>
        <v>613.9899999999999</v>
      </c>
      <c r="F14" s="349">
        <v>9846.48</v>
      </c>
      <c r="G14" s="349">
        <v>1517.16</v>
      </c>
      <c r="H14" s="349">
        <v>2430.59</v>
      </c>
      <c r="I14" s="974">
        <f>SUM(F14:H14)</f>
        <v>13794.23</v>
      </c>
    </row>
    <row r="15" spans="1:9" s="46" customFormat="1" ht="14.1" customHeight="1">
      <c r="A15" s="262" t="s">
        <v>1440</v>
      </c>
      <c r="B15" s="977">
        <v>486.18</v>
      </c>
      <c r="C15" s="977">
        <v>315.48</v>
      </c>
      <c r="D15" s="977">
        <v>52.07</v>
      </c>
      <c r="E15" s="977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2">
        <f>SUM(F15:H15)</f>
        <v>14539.32</v>
      </c>
    </row>
    <row r="16" spans="1:9" s="46" customFormat="1" ht="14.1" customHeight="1">
      <c r="A16" s="652" t="s">
        <v>1306</v>
      </c>
      <c r="B16" s="973">
        <v>140.35</v>
      </c>
      <c r="C16" s="973">
        <v>319.3</v>
      </c>
      <c r="D16" s="973">
        <v>36.19</v>
      </c>
      <c r="E16" s="973">
        <f t="shared" si="2"/>
        <v>495.84</v>
      </c>
      <c r="F16" s="349">
        <v>9528.91</v>
      </c>
      <c r="G16" s="349">
        <v>2705.15</v>
      </c>
      <c r="H16" s="349">
        <v>2144.1</v>
      </c>
      <c r="I16" s="973">
        <f>SUM(F16:H16)</f>
        <v>14378.16</v>
      </c>
    </row>
    <row r="17" spans="1:11" s="46" customFormat="1" ht="14.1" customHeight="1">
      <c r="A17" s="262" t="s">
        <v>1307</v>
      </c>
      <c r="B17" s="977">
        <v>121.69</v>
      </c>
      <c r="C17" s="977">
        <v>323.67</v>
      </c>
      <c r="D17" s="977">
        <v>45.89</v>
      </c>
      <c r="E17" s="977">
        <f t="shared" si="2"/>
        <v>491.25</v>
      </c>
      <c r="F17" s="275">
        <v>9527.51</v>
      </c>
      <c r="G17" s="275">
        <v>2699.93</v>
      </c>
      <c r="H17" s="275">
        <v>2239.13</v>
      </c>
      <c r="I17" s="977">
        <f>SUM(F17:H17)</f>
        <v>14466.57</v>
      </c>
    </row>
    <row r="18" spans="1:11" s="46" customFormat="1" ht="14.1" customHeight="1">
      <c r="A18" s="343" t="s">
        <v>1467</v>
      </c>
      <c r="B18" s="978">
        <f>B19+B20+B21+B22</f>
        <v>614.76</v>
      </c>
      <c r="C18" s="978">
        <f t="shared" ref="C18:E18" si="3">C19+C20+C21+C22</f>
        <v>1253.44</v>
      </c>
      <c r="D18" s="978">
        <f t="shared" si="3"/>
        <v>712.24</v>
      </c>
      <c r="E18" s="978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9">
        <f t="shared" ref="I18" si="4">SUM(F18:H18)</f>
        <v>15791.34</v>
      </c>
    </row>
    <row r="19" spans="1:11" s="439" customFormat="1" ht="14.1" customHeight="1">
      <c r="A19" s="262" t="s">
        <v>1308</v>
      </c>
      <c r="B19" s="977">
        <v>154.41</v>
      </c>
      <c r="C19" s="977">
        <v>291.88</v>
      </c>
      <c r="D19" s="977">
        <v>60.86</v>
      </c>
      <c r="E19" s="977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4.1" customHeight="1">
      <c r="A20" s="652" t="s">
        <v>1440</v>
      </c>
      <c r="B20" s="973">
        <v>122.45</v>
      </c>
      <c r="C20" s="973">
        <v>344.57</v>
      </c>
      <c r="D20" s="973">
        <v>190.3</v>
      </c>
      <c r="E20" s="973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4.1" customHeight="1">
      <c r="A21" s="262" t="s">
        <v>1306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4.1" customHeight="1">
      <c r="A22" s="652" t="s">
        <v>1307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4.1" customHeight="1">
      <c r="A23" s="846" t="s">
        <v>1596</v>
      </c>
      <c r="B23" s="976">
        <f>B24+B25+B26+B27</f>
        <v>1195.2</v>
      </c>
      <c r="C23" s="976">
        <f t="shared" ref="C23:E23" si="5">C24+C25+C26+C27</f>
        <v>1363.4599999999998</v>
      </c>
      <c r="D23" s="976">
        <f t="shared" si="5"/>
        <v>1330.33</v>
      </c>
      <c r="E23" s="976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80">
        <f t="shared" ref="I23" si="6">SUM(F23:H23)</f>
        <v>18680.21</v>
      </c>
    </row>
    <row r="24" spans="1:11" s="439" customFormat="1" ht="14.1" customHeight="1">
      <c r="A24" s="652" t="s">
        <v>1308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4.1" customHeight="1">
      <c r="A25" s="262" t="s">
        <v>1440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4.1" customHeight="1">
      <c r="A26" s="652" t="s">
        <v>1306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2" si="7">SUM(F26:H26)</f>
        <v>18185.009999999998</v>
      </c>
    </row>
    <row r="27" spans="1:11" s="439" customFormat="1" ht="14.1" customHeight="1">
      <c r="A27" s="262" t="s">
        <v>1307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4.1" customHeight="1">
      <c r="A28" s="663" t="s">
        <v>1691</v>
      </c>
      <c r="B28" s="978">
        <f>B29+B30+B31+B32</f>
        <v>727.93000000000006</v>
      </c>
      <c r="C28" s="978">
        <f t="shared" ref="C28:E28" si="8">C29+C30+C31+C32</f>
        <v>1510.0900000000001</v>
      </c>
      <c r="D28" s="978">
        <f t="shared" si="8"/>
        <v>132.43</v>
      </c>
      <c r="E28" s="978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9">
        <f t="shared" si="7"/>
        <v>18721.689999999999</v>
      </c>
    </row>
    <row r="29" spans="1:11" s="439" customFormat="1" ht="14.1" customHeight="1">
      <c r="A29" s="262" t="s">
        <v>1308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3"/>
    </row>
    <row r="30" spans="1:11" s="439" customFormat="1" ht="14.1" customHeight="1">
      <c r="A30" s="652" t="s">
        <v>1440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4.1" customHeight="1">
      <c r="A31" s="262" t="s">
        <v>1306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4.1" customHeight="1">
      <c r="A32" s="652" t="s">
        <v>1307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4.1" customHeight="1">
      <c r="A33" s="846" t="s">
        <v>1760</v>
      </c>
      <c r="B33" s="976">
        <f>B34+B35+B36+B37</f>
        <v>816.17000000000007</v>
      </c>
      <c r="C33" s="976">
        <f t="shared" ref="C33:E33" si="9">C34+C35+C36+C37</f>
        <v>1585.9399999999998</v>
      </c>
      <c r="D33" s="976">
        <f t="shared" si="9"/>
        <v>105.2</v>
      </c>
      <c r="E33" s="976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80">
        <f t="shared" si="7"/>
        <v>19946.59</v>
      </c>
    </row>
    <row r="34" spans="1:11" s="439" customFormat="1" ht="14.1" customHeight="1">
      <c r="A34" s="652" t="s">
        <v>1308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3"/>
    </row>
    <row r="35" spans="1:11" s="439" customFormat="1" ht="14.1" customHeight="1">
      <c r="A35" s="262" t="s">
        <v>1440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4.1" customHeight="1">
      <c r="A36" s="652" t="s">
        <v>1306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4.1" customHeight="1">
      <c r="A37" s="262" t="s">
        <v>1307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4.1" customHeight="1">
      <c r="A38" s="663" t="s">
        <v>2160</v>
      </c>
      <c r="B38" s="978">
        <f>B39+B40+B41+B42</f>
        <v>1346.94</v>
      </c>
      <c r="C38" s="978">
        <f t="shared" ref="C38:E38" si="10">C39+C40+C41+C42</f>
        <v>2044.79</v>
      </c>
      <c r="D38" s="978">
        <f t="shared" si="10"/>
        <v>47.900000000000013</v>
      </c>
      <c r="E38" s="978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9">
        <f t="shared" ref="I38" si="11">SUM(F38:H38)</f>
        <v>20503.54</v>
      </c>
    </row>
    <row r="39" spans="1:11" s="439" customFormat="1" ht="14.1" customHeight="1">
      <c r="A39" s="1407" t="s">
        <v>1308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4.1" customHeight="1">
      <c r="A40" s="1495" t="s">
        <v>1440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4.1" customHeight="1">
      <c r="A41" s="1407" t="s">
        <v>1306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4.1" customHeight="1" thickBot="1">
      <c r="A42" s="1629" t="s">
        <v>1307</v>
      </c>
      <c r="B42" s="369">
        <v>226.99</v>
      </c>
      <c r="C42" s="369">
        <v>602.89</v>
      </c>
      <c r="D42" s="369">
        <v>-42.4</v>
      </c>
      <c r="E42" s="369">
        <f t="shared" si="2"/>
        <v>787.48</v>
      </c>
      <c r="F42" s="369">
        <v>13937.85</v>
      </c>
      <c r="G42" s="369">
        <v>3695.49</v>
      </c>
      <c r="H42" s="369">
        <v>2870.2</v>
      </c>
      <c r="I42" s="369">
        <f t="shared" si="7"/>
        <v>20503.54</v>
      </c>
    </row>
    <row r="43" spans="1:11" s="244" customFormat="1" ht="11.25">
      <c r="A43" s="261" t="s">
        <v>637</v>
      </c>
      <c r="B43" s="2078" t="s">
        <v>2225</v>
      </c>
      <c r="C43" s="2078"/>
      <c r="D43" s="2078"/>
      <c r="E43" s="2078"/>
      <c r="F43" s="2078"/>
      <c r="G43" s="2078"/>
      <c r="H43" s="2078"/>
      <c r="I43" s="2078"/>
    </row>
    <row r="44" spans="1:11" s="161" customFormat="1" ht="11.25">
      <c r="A44" s="17"/>
      <c r="B44" s="2069" t="s">
        <v>1757</v>
      </c>
      <c r="C44" s="2069"/>
      <c r="D44" s="2069"/>
      <c r="E44" s="2069"/>
      <c r="F44" s="2069"/>
      <c r="G44" s="2069"/>
      <c r="H44" s="2069"/>
      <c r="I44" s="2069"/>
    </row>
    <row r="45" spans="1:11">
      <c r="A45" s="620" t="s">
        <v>904</v>
      </c>
      <c r="B45" s="2070" t="s">
        <v>1364</v>
      </c>
      <c r="C45" s="2070"/>
      <c r="D45" s="2070"/>
      <c r="E45" s="2070"/>
      <c r="F45" s="33"/>
      <c r="G45" s="33"/>
      <c r="H45" s="260"/>
      <c r="I45" s="260"/>
    </row>
    <row r="47" spans="1:11">
      <c r="E47" s="662"/>
    </row>
    <row r="48" spans="1:11">
      <c r="E48" s="662"/>
    </row>
    <row r="52" ht="11.1" customHeight="1"/>
    <row r="53" ht="11.1" customHeight="1"/>
    <row r="54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4:I44"/>
    <mergeCell ref="B45:E45"/>
    <mergeCell ref="A1:G2"/>
    <mergeCell ref="H3:I3"/>
    <mergeCell ref="A4:A5"/>
    <mergeCell ref="B4:E4"/>
    <mergeCell ref="F4:I4"/>
    <mergeCell ref="B43:I43"/>
  </mergeCells>
  <phoneticPr fontId="53" type="noConversion"/>
  <pageMargins left="0.59055118110236204" right="0.511811023622047" top="0.39370078740157499" bottom="0.511811023622047" header="0" footer="0.39370078740157499"/>
  <pageSetup paperSize="145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9"/>
  <sheetViews>
    <sheetView zoomScale="140" zoomScaleNormal="140" workbookViewId="0">
      <pane xSplit="1" ySplit="6" topLeftCell="F42" activePane="bottomRight" state="frozen"/>
      <selection activeCell="F85" sqref="F85"/>
      <selection pane="topRight" activeCell="F85" sqref="F85"/>
      <selection pane="bottomLeft" activeCell="F85" sqref="F85"/>
      <selection pane="bottomRight" activeCell="O53" sqref="O53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79" t="s">
        <v>675</v>
      </c>
      <c r="B1" s="2079"/>
      <c r="C1" s="2079"/>
      <c r="D1" s="2079"/>
      <c r="E1" s="61"/>
      <c r="F1" s="61"/>
      <c r="J1" s="2091" t="s">
        <v>121</v>
      </c>
      <c r="K1" s="2091"/>
      <c r="L1" s="2091"/>
      <c r="M1" s="2085" t="s">
        <v>120</v>
      </c>
      <c r="N1" s="2085"/>
      <c r="S1" s="2091" t="s">
        <v>142</v>
      </c>
      <c r="T1" s="2091"/>
      <c r="U1" s="2091"/>
      <c r="AE1" s="2091" t="s">
        <v>121</v>
      </c>
      <c r="AF1" s="2091"/>
      <c r="AG1" s="2085" t="s">
        <v>120</v>
      </c>
      <c r="AH1" s="2085"/>
      <c r="AI1" s="2085"/>
      <c r="AN1" s="2091" t="s">
        <v>233</v>
      </c>
      <c r="AO1" s="2091"/>
      <c r="AP1" s="2091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80" t="s">
        <v>24</v>
      </c>
      <c r="U2" s="2080"/>
      <c r="AO2" s="2080" t="s">
        <v>24</v>
      </c>
      <c r="AP2" s="2080"/>
    </row>
    <row r="3" spans="1:42" s="117" customFormat="1" ht="13.5" customHeight="1">
      <c r="A3" s="2086" t="s">
        <v>21</v>
      </c>
      <c r="B3" s="2096" t="s">
        <v>175</v>
      </c>
      <c r="C3" s="2097"/>
      <c r="D3" s="2097"/>
      <c r="E3" s="2097"/>
      <c r="F3" s="2097"/>
      <c r="G3" s="2097"/>
      <c r="H3" s="2097"/>
      <c r="I3" s="2097"/>
      <c r="J3" s="2097"/>
      <c r="K3" s="2097"/>
      <c r="L3" s="2098"/>
      <c r="M3" s="2096" t="s">
        <v>176</v>
      </c>
      <c r="N3" s="2097"/>
      <c r="O3" s="2097"/>
      <c r="P3" s="2097"/>
      <c r="Q3" s="2097"/>
      <c r="R3" s="2097"/>
      <c r="S3" s="2097"/>
      <c r="T3" s="2098"/>
      <c r="U3" s="2086" t="s">
        <v>21</v>
      </c>
      <c r="V3" s="2086" t="s">
        <v>21</v>
      </c>
      <c r="W3" s="2096" t="s">
        <v>177</v>
      </c>
      <c r="X3" s="2097"/>
      <c r="Y3" s="2097"/>
      <c r="Z3" s="2097"/>
      <c r="AA3" s="2097"/>
      <c r="AB3" s="2097"/>
      <c r="AC3" s="2097"/>
      <c r="AD3" s="2097"/>
      <c r="AE3" s="2097"/>
      <c r="AF3" s="2097"/>
      <c r="AG3" s="2097"/>
      <c r="AH3" s="2097" t="s">
        <v>178</v>
      </c>
      <c r="AI3" s="2097"/>
      <c r="AJ3" s="2097"/>
      <c r="AK3" s="2097"/>
      <c r="AL3" s="2097"/>
      <c r="AM3" s="2098"/>
      <c r="AN3" s="2081" t="s">
        <v>1005</v>
      </c>
      <c r="AO3" s="2081" t="s">
        <v>1007</v>
      </c>
      <c r="AP3" s="2086" t="s">
        <v>524</v>
      </c>
    </row>
    <row r="4" spans="1:42" s="84" customFormat="1" ht="11.25" customHeight="1">
      <c r="A4" s="2087"/>
      <c r="B4" s="2081" t="s">
        <v>1025</v>
      </c>
      <c r="C4" s="2083" t="s">
        <v>111</v>
      </c>
      <c r="D4" s="2081" t="s">
        <v>112</v>
      </c>
      <c r="E4" s="2081" t="s">
        <v>829</v>
      </c>
      <c r="F4" s="2081" t="s">
        <v>113</v>
      </c>
      <c r="G4" s="2083" t="s">
        <v>830</v>
      </c>
      <c r="H4" s="2083" t="s">
        <v>1396</v>
      </c>
      <c r="I4" s="2081" t="s">
        <v>831</v>
      </c>
      <c r="J4" s="2081" t="s">
        <v>832</v>
      </c>
      <c r="K4" s="2081" t="s">
        <v>691</v>
      </c>
      <c r="L4" s="2089" t="s">
        <v>231</v>
      </c>
      <c r="M4" s="2092" t="s">
        <v>534</v>
      </c>
      <c r="N4" s="2093"/>
      <c r="O4" s="2094"/>
      <c r="P4" s="2092" t="s">
        <v>227</v>
      </c>
      <c r="Q4" s="2093"/>
      <c r="R4" s="2093"/>
      <c r="S4" s="2093"/>
      <c r="T4" s="2094"/>
      <c r="U4" s="2087"/>
      <c r="V4" s="2087"/>
      <c r="W4" s="2092" t="s">
        <v>232</v>
      </c>
      <c r="X4" s="2093"/>
      <c r="Y4" s="2093"/>
      <c r="Z4" s="2093"/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4"/>
      <c r="AN4" s="2095"/>
      <c r="AO4" s="2095"/>
      <c r="AP4" s="2087"/>
    </row>
    <row r="5" spans="1:42" s="66" customFormat="1" ht="44.25" customHeight="1">
      <c r="A5" s="2087"/>
      <c r="B5" s="2082"/>
      <c r="C5" s="2084"/>
      <c r="D5" s="2082"/>
      <c r="E5" s="2082"/>
      <c r="F5" s="2082"/>
      <c r="G5" s="2084"/>
      <c r="H5" s="2084"/>
      <c r="I5" s="2082"/>
      <c r="J5" s="2082"/>
      <c r="K5" s="2082"/>
      <c r="L5" s="2090"/>
      <c r="M5" s="1711" t="s">
        <v>535</v>
      </c>
      <c r="N5" s="1705" t="s">
        <v>536</v>
      </c>
      <c r="O5" s="1705" t="s">
        <v>687</v>
      </c>
      <c r="P5" s="1705" t="s">
        <v>1323</v>
      </c>
      <c r="Q5" s="1705" t="s">
        <v>537</v>
      </c>
      <c r="R5" s="1705" t="s">
        <v>833</v>
      </c>
      <c r="S5" s="1705" t="s">
        <v>834</v>
      </c>
      <c r="T5" s="1711" t="s">
        <v>873</v>
      </c>
      <c r="U5" s="2087"/>
      <c r="V5" s="2087"/>
      <c r="W5" s="1207" t="s">
        <v>631</v>
      </c>
      <c r="X5" s="1704" t="s">
        <v>116</v>
      </c>
      <c r="Y5" s="1704" t="s">
        <v>1004</v>
      </c>
      <c r="Z5" s="1704" t="s">
        <v>871</v>
      </c>
      <c r="AA5" s="1704" t="s">
        <v>835</v>
      </c>
      <c r="AB5" s="1704" t="s">
        <v>229</v>
      </c>
      <c r="AC5" s="1704" t="s">
        <v>832</v>
      </c>
      <c r="AD5" s="1704" t="s">
        <v>117</v>
      </c>
      <c r="AE5" s="1707" t="s">
        <v>1397</v>
      </c>
      <c r="AF5" s="1704" t="s">
        <v>118</v>
      </c>
      <c r="AG5" s="1704" t="s">
        <v>538</v>
      </c>
      <c r="AH5" s="1708" t="s">
        <v>1398</v>
      </c>
      <c r="AI5" s="1705" t="s">
        <v>836</v>
      </c>
      <c r="AJ5" s="1705" t="s">
        <v>837</v>
      </c>
      <c r="AK5" s="1705" t="s">
        <v>230</v>
      </c>
      <c r="AL5" s="1705" t="s">
        <v>872</v>
      </c>
      <c r="AM5" s="1705" t="s">
        <v>1006</v>
      </c>
      <c r="AN5" s="2082"/>
      <c r="AO5" s="2082"/>
      <c r="AP5" s="2087"/>
    </row>
    <row r="6" spans="1:42" s="70" customFormat="1" ht="12" customHeight="1">
      <c r="A6" s="2088"/>
      <c r="B6" s="1718">
        <v>1</v>
      </c>
      <c r="C6" s="1710">
        <v>2</v>
      </c>
      <c r="D6" s="1710">
        <v>3</v>
      </c>
      <c r="E6" s="1710">
        <v>4</v>
      </c>
      <c r="F6" s="1710">
        <v>5</v>
      </c>
      <c r="G6" s="1710">
        <v>6</v>
      </c>
      <c r="H6" s="1710">
        <v>7</v>
      </c>
      <c r="I6" s="1710">
        <v>8</v>
      </c>
      <c r="J6" s="1710">
        <v>9</v>
      </c>
      <c r="K6" s="1710">
        <v>10</v>
      </c>
      <c r="L6" s="1710">
        <v>11</v>
      </c>
      <c r="M6" s="947">
        <v>12</v>
      </c>
      <c r="N6" s="1710">
        <v>13</v>
      </c>
      <c r="O6" s="1710" t="s">
        <v>688</v>
      </c>
      <c r="P6" s="1710">
        <v>15</v>
      </c>
      <c r="Q6" s="1710">
        <v>16</v>
      </c>
      <c r="R6" s="1710">
        <v>17</v>
      </c>
      <c r="S6" s="1710">
        <v>18</v>
      </c>
      <c r="T6" s="947">
        <v>19</v>
      </c>
      <c r="U6" s="2088"/>
      <c r="V6" s="2088"/>
      <c r="W6" s="1718">
        <v>20</v>
      </c>
      <c r="X6" s="1710">
        <v>21</v>
      </c>
      <c r="Y6" s="1710">
        <v>22</v>
      </c>
      <c r="Z6" s="1710">
        <v>23</v>
      </c>
      <c r="AA6" s="1710">
        <v>24</v>
      </c>
      <c r="AB6" s="1710">
        <v>25</v>
      </c>
      <c r="AC6" s="1710">
        <v>26</v>
      </c>
      <c r="AD6" s="1710">
        <v>27</v>
      </c>
      <c r="AE6" s="1710">
        <v>28</v>
      </c>
      <c r="AF6" s="1710">
        <v>29</v>
      </c>
      <c r="AG6" s="1710">
        <v>30</v>
      </c>
      <c r="AH6" s="1710">
        <v>31</v>
      </c>
      <c r="AI6" s="1710">
        <v>32</v>
      </c>
      <c r="AJ6" s="1710">
        <v>33</v>
      </c>
      <c r="AK6" s="1710">
        <v>34</v>
      </c>
      <c r="AL6" s="1710">
        <v>35</v>
      </c>
      <c r="AM6" s="1710">
        <v>36</v>
      </c>
      <c r="AN6" s="1710" t="s">
        <v>689</v>
      </c>
      <c r="AO6" s="67" t="s">
        <v>690</v>
      </c>
      <c r="AP6" s="2088"/>
    </row>
    <row r="7" spans="1:42" s="59" customFormat="1" ht="11.85" customHeight="1">
      <c r="A7" s="699" t="s">
        <v>81</v>
      </c>
      <c r="B7" s="701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1">
        <v>993</v>
      </c>
      <c r="I7" s="701">
        <v>0</v>
      </c>
      <c r="J7" s="701">
        <v>236</v>
      </c>
      <c r="K7" s="701">
        <v>23011</v>
      </c>
      <c r="L7" s="701">
        <v>102148</v>
      </c>
      <c r="M7" s="701">
        <v>522</v>
      </c>
      <c r="N7" s="701">
        <v>5267</v>
      </c>
      <c r="O7" s="701">
        <v>5789</v>
      </c>
      <c r="P7" s="701">
        <v>736</v>
      </c>
      <c r="Q7" s="701">
        <v>755</v>
      </c>
      <c r="R7" s="701">
        <v>900</v>
      </c>
      <c r="S7" s="701">
        <v>7260</v>
      </c>
      <c r="T7" s="701">
        <v>2422</v>
      </c>
      <c r="U7" s="700" t="s">
        <v>81</v>
      </c>
      <c r="V7" s="699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1706">
        <v>814</v>
      </c>
      <c r="AJ7" s="1706">
        <v>10052</v>
      </c>
      <c r="AK7" s="1706">
        <v>11032</v>
      </c>
      <c r="AL7" s="1706">
        <v>50346</v>
      </c>
      <c r="AM7" s="1706">
        <v>158452</v>
      </c>
      <c r="AN7" s="701">
        <v>164241</v>
      </c>
      <c r="AO7" s="701">
        <v>-62093</v>
      </c>
      <c r="AP7" s="75" t="s">
        <v>81</v>
      </c>
    </row>
    <row r="8" spans="1:42" s="59" customFormat="1" ht="11.85" customHeight="1">
      <c r="A8" s="346" t="s">
        <v>198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198</v>
      </c>
      <c r="V8" s="346" t="s">
        <v>198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5">
        <v>1283</v>
      </c>
      <c r="AJ8" s="785">
        <v>14290</v>
      </c>
      <c r="AK8" s="785">
        <v>16589</v>
      </c>
      <c r="AL8" s="785">
        <v>66111</v>
      </c>
      <c r="AM8" s="785">
        <v>226364</v>
      </c>
      <c r="AN8" s="442">
        <v>240028</v>
      </c>
      <c r="AO8" s="442">
        <v>-95596.937090999985</v>
      </c>
      <c r="AP8" s="339" t="s">
        <v>198</v>
      </c>
    </row>
    <row r="9" spans="1:42" s="70" customFormat="1" ht="11.85" customHeight="1">
      <c r="A9" s="1709" t="s">
        <v>789</v>
      </c>
      <c r="B9" s="1706">
        <v>1866</v>
      </c>
      <c r="C9" s="1706">
        <v>5200</v>
      </c>
      <c r="D9" s="1706">
        <v>28</v>
      </c>
      <c r="E9" s="1706">
        <v>4115</v>
      </c>
      <c r="F9" s="1706">
        <v>4758</v>
      </c>
      <c r="G9" s="1706">
        <v>122701</v>
      </c>
      <c r="H9" s="1706">
        <v>975</v>
      </c>
      <c r="I9" s="1706">
        <v>0</v>
      </c>
      <c r="J9" s="1706">
        <v>130</v>
      </c>
      <c r="K9" s="701">
        <v>40540.264029999998</v>
      </c>
      <c r="L9" s="701">
        <v>180313.26402999999</v>
      </c>
      <c r="M9" s="1706">
        <v>2188</v>
      </c>
      <c r="N9" s="1706">
        <v>4763</v>
      </c>
      <c r="O9" s="1706">
        <v>6951</v>
      </c>
      <c r="P9" s="1706">
        <v>1750</v>
      </c>
      <c r="Q9" s="1706">
        <v>1080</v>
      </c>
      <c r="R9" s="1706">
        <v>1420</v>
      </c>
      <c r="S9" s="1706">
        <v>13051</v>
      </c>
      <c r="T9" s="1706">
        <v>1911</v>
      </c>
      <c r="U9" s="668" t="s">
        <v>789</v>
      </c>
      <c r="V9" s="267" t="s">
        <v>789</v>
      </c>
      <c r="W9" s="1706">
        <v>9390</v>
      </c>
      <c r="X9" s="1706">
        <v>3994</v>
      </c>
      <c r="Y9" s="1706">
        <v>8387</v>
      </c>
      <c r="Z9" s="1706">
        <v>30484</v>
      </c>
      <c r="AA9" s="1706">
        <v>9575</v>
      </c>
      <c r="AB9" s="1706">
        <v>934</v>
      </c>
      <c r="AC9" s="1706">
        <v>10907</v>
      </c>
      <c r="AD9" s="1706">
        <v>2977</v>
      </c>
      <c r="AE9" s="1706">
        <v>10835</v>
      </c>
      <c r="AF9" s="1706">
        <v>16601</v>
      </c>
      <c r="AG9" s="1706">
        <v>10833</v>
      </c>
      <c r="AH9" s="1706">
        <v>24168</v>
      </c>
      <c r="AI9" s="1706">
        <v>3250</v>
      </c>
      <c r="AJ9" s="1706">
        <v>17637</v>
      </c>
      <c r="AK9" s="1706">
        <v>15765</v>
      </c>
      <c r="AL9" s="1706">
        <v>79063</v>
      </c>
      <c r="AM9" s="1706">
        <v>274012</v>
      </c>
      <c r="AN9" s="1706">
        <v>280963</v>
      </c>
      <c r="AO9" s="701">
        <v>-100649.73597000001</v>
      </c>
      <c r="AP9" s="668" t="s">
        <v>789</v>
      </c>
    </row>
    <row r="10" spans="1:42" s="290" customFormat="1" ht="11.85" customHeight="1">
      <c r="A10" s="346" t="s">
        <v>905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905</v>
      </c>
      <c r="V10" s="346" t="s">
        <v>905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5">
        <v>3627</v>
      </c>
      <c r="AJ10" s="785">
        <v>18642</v>
      </c>
      <c r="AK10" s="785">
        <v>14672</v>
      </c>
      <c r="AL10" s="785">
        <v>74763</v>
      </c>
      <c r="AM10" s="785">
        <v>266514</v>
      </c>
      <c r="AN10" s="442">
        <v>272328</v>
      </c>
      <c r="AO10" s="442">
        <v>-82891.157360000012</v>
      </c>
      <c r="AP10" s="339" t="s">
        <v>905</v>
      </c>
    </row>
    <row r="11" spans="1:42" s="278" customFormat="1" ht="11.85" customHeight="1">
      <c r="A11" s="534" t="s">
        <v>1104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1104</v>
      </c>
      <c r="V11" s="534" t="s">
        <v>1104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1104</v>
      </c>
    </row>
    <row r="12" spans="1:42" s="263" customFormat="1" ht="11.85" customHeight="1">
      <c r="A12" s="346" t="s">
        <v>1163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1163</v>
      </c>
      <c r="V12" s="346" t="s">
        <v>1163</v>
      </c>
      <c r="W12" s="814">
        <v>5770</v>
      </c>
      <c r="X12" s="814">
        <v>4632</v>
      </c>
      <c r="Y12" s="814">
        <v>6629</v>
      </c>
      <c r="Z12" s="814">
        <v>26175</v>
      </c>
      <c r="AA12" s="814">
        <v>12192</v>
      </c>
      <c r="AB12" s="814">
        <v>875</v>
      </c>
      <c r="AC12" s="814">
        <v>9647</v>
      </c>
      <c r="AD12" s="814">
        <v>4312</v>
      </c>
      <c r="AE12" s="814">
        <v>14333</v>
      </c>
      <c r="AF12" s="814">
        <v>17672</v>
      </c>
      <c r="AG12" s="814">
        <v>12377</v>
      </c>
      <c r="AH12" s="814">
        <v>28569</v>
      </c>
      <c r="AI12" s="814">
        <v>4078</v>
      </c>
      <c r="AJ12" s="814">
        <v>22909</v>
      </c>
      <c r="AK12" s="814">
        <v>20294</v>
      </c>
      <c r="AL12" s="814">
        <v>90395</v>
      </c>
      <c r="AM12" s="814">
        <v>302961</v>
      </c>
      <c r="AN12" s="983">
        <v>315185.2</v>
      </c>
      <c r="AO12" s="983">
        <v>-88699.330443200015</v>
      </c>
      <c r="AP12" s="347" t="s">
        <v>1163</v>
      </c>
    </row>
    <row r="13" spans="1:42" s="278" customFormat="1" ht="11.85" customHeight="1">
      <c r="A13" s="534" t="s">
        <v>1295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1" t="s">
        <v>1295</v>
      </c>
      <c r="V13" s="420" t="s">
        <v>1295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1" t="s">
        <v>1295</v>
      </c>
    </row>
    <row r="14" spans="1:42" s="278" customFormat="1" ht="11.85" customHeight="1">
      <c r="A14" s="346" t="s">
        <v>1328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7" t="s">
        <v>1328</v>
      </c>
      <c r="V14" s="874" t="s">
        <v>1328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7" t="s">
        <v>1328</v>
      </c>
    </row>
    <row r="15" spans="1:42" s="278" customFormat="1" ht="11.85" customHeight="1">
      <c r="A15" s="534" t="s">
        <v>1467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1" t="s">
        <v>1467</v>
      </c>
      <c r="V15" s="420" t="s">
        <v>1467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1" t="s">
        <v>1467</v>
      </c>
    </row>
    <row r="16" spans="1:42" s="278" customFormat="1" ht="11.85" customHeight="1">
      <c r="A16" s="1608" t="s">
        <v>1596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609" t="s">
        <v>1596</v>
      </c>
      <c r="V16" s="1608" t="s">
        <v>1596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609" t="s">
        <v>1596</v>
      </c>
    </row>
    <row r="17" spans="1:42" s="289" customFormat="1" ht="11.85" customHeight="1">
      <c r="A17" s="107" t="s">
        <v>1691</v>
      </c>
      <c r="B17" s="981">
        <v>1040</v>
      </c>
      <c r="C17" s="981">
        <v>6146</v>
      </c>
      <c r="D17" s="981">
        <v>21</v>
      </c>
      <c r="E17" s="981">
        <v>748</v>
      </c>
      <c r="F17" s="981">
        <v>3444</v>
      </c>
      <c r="G17" s="981">
        <v>190874</v>
      </c>
      <c r="H17" s="981">
        <v>0</v>
      </c>
      <c r="I17" s="981">
        <v>0</v>
      </c>
      <c r="J17" s="981">
        <v>0</v>
      </c>
      <c r="K17" s="981">
        <v>63181.986787679991</v>
      </c>
      <c r="L17" s="981">
        <v>265454.98678768001</v>
      </c>
      <c r="M17" s="981">
        <v>128.4539</v>
      </c>
      <c r="N17" s="981">
        <v>12627.9982</v>
      </c>
      <c r="O17" s="981">
        <v>12756.452099999999</v>
      </c>
      <c r="P17" s="981">
        <v>2932.8680000000004</v>
      </c>
      <c r="Q17" s="981">
        <v>2773.0823999999998</v>
      </c>
      <c r="R17" s="981">
        <v>8208.4980999999989</v>
      </c>
      <c r="S17" s="981">
        <v>12284.178100000001</v>
      </c>
      <c r="T17" s="981">
        <v>4998.1288999999997</v>
      </c>
      <c r="U17" s="516" t="s">
        <v>1691</v>
      </c>
      <c r="V17" s="204" t="s">
        <v>1691</v>
      </c>
      <c r="W17" s="981">
        <v>5341.1967999999997</v>
      </c>
      <c r="X17" s="981">
        <v>5596.1562000000004</v>
      </c>
      <c r="Y17" s="981">
        <v>2292</v>
      </c>
      <c r="Z17" s="981">
        <v>42438.809199999996</v>
      </c>
      <c r="AA17" s="981">
        <v>18733.473399999995</v>
      </c>
      <c r="AB17" s="981">
        <v>1271.8957</v>
      </c>
      <c r="AC17" s="981">
        <v>8080.4802</v>
      </c>
      <c r="AD17" s="981">
        <v>5218.0609999999997</v>
      </c>
      <c r="AE17" s="981">
        <v>19705.760500000004</v>
      </c>
      <c r="AF17" s="981">
        <v>22376.166300000001</v>
      </c>
      <c r="AG17" s="981">
        <v>14202.8307</v>
      </c>
      <c r="AH17" s="981">
        <v>36070.014900000009</v>
      </c>
      <c r="AI17" s="981">
        <v>6120.8277000000007</v>
      </c>
      <c r="AJ17" s="981">
        <v>34009.763699999996</v>
      </c>
      <c r="AK17" s="981">
        <v>31545.680499999999</v>
      </c>
      <c r="AL17" s="981">
        <v>114358.95090000001</v>
      </c>
      <c r="AM17" s="981">
        <v>398558.82319999998</v>
      </c>
      <c r="AN17" s="981">
        <v>411315.27529999992</v>
      </c>
      <c r="AO17" s="981">
        <v>-145860.28851232</v>
      </c>
      <c r="AP17" s="516" t="s">
        <v>1691</v>
      </c>
    </row>
    <row r="18" spans="1:42" s="289" customFormat="1" ht="11.85" customHeight="1">
      <c r="A18" s="342" t="s">
        <v>1760</v>
      </c>
      <c r="B18" s="982">
        <f>SUM(B19:B30)</f>
        <v>1049</v>
      </c>
      <c r="C18" s="982">
        <f t="shared" ref="C18:T18" si="0">SUM(C19:C30)</f>
        <v>8095</v>
      </c>
      <c r="D18" s="982">
        <f t="shared" si="0"/>
        <v>28</v>
      </c>
      <c r="E18" s="982">
        <f t="shared" si="0"/>
        <v>797</v>
      </c>
      <c r="F18" s="982">
        <f t="shared" si="0"/>
        <v>3486</v>
      </c>
      <c r="G18" s="982">
        <f t="shared" si="0"/>
        <v>212101</v>
      </c>
      <c r="H18" s="982">
        <f t="shared" si="0"/>
        <v>87</v>
      </c>
      <c r="I18" s="982">
        <f t="shared" si="0"/>
        <v>1</v>
      </c>
      <c r="J18" s="982">
        <f t="shared" si="0"/>
        <v>0</v>
      </c>
      <c r="K18" s="982">
        <f t="shared" si="0"/>
        <v>73720.499686700001</v>
      </c>
      <c r="L18" s="982">
        <f t="shared" si="0"/>
        <v>299364.4996867</v>
      </c>
      <c r="M18" s="982">
        <f t="shared" si="0"/>
        <v>3160.2</v>
      </c>
      <c r="N18" s="982">
        <f t="shared" si="0"/>
        <v>13211.6</v>
      </c>
      <c r="O18" s="982">
        <f t="shared" si="0"/>
        <v>16371.800000000001</v>
      </c>
      <c r="P18" s="982">
        <f t="shared" si="0"/>
        <v>2634.7</v>
      </c>
      <c r="Q18" s="982">
        <f t="shared" si="0"/>
        <v>3390.1</v>
      </c>
      <c r="R18" s="982">
        <f t="shared" si="0"/>
        <v>10916.299999999997</v>
      </c>
      <c r="S18" s="982">
        <f t="shared" si="0"/>
        <v>14993.4</v>
      </c>
      <c r="T18" s="982">
        <f t="shared" si="0"/>
        <v>5575.8</v>
      </c>
      <c r="U18" s="335" t="s">
        <v>1760</v>
      </c>
      <c r="V18" s="334" t="s">
        <v>1760</v>
      </c>
      <c r="W18" s="982">
        <f t="shared" ref="W18:AO18" si="1">SUM(W19:W30)</f>
        <v>7131.9000000000005</v>
      </c>
      <c r="X18" s="982">
        <f t="shared" si="1"/>
        <v>6565.5000000000009</v>
      </c>
      <c r="Y18" s="982">
        <f t="shared" si="1"/>
        <v>6991.5999999999995</v>
      </c>
      <c r="Z18" s="982">
        <f t="shared" si="1"/>
        <v>41886.9</v>
      </c>
      <c r="AA18" s="982">
        <f t="shared" si="1"/>
        <v>22966</v>
      </c>
      <c r="AB18" s="982">
        <f t="shared" si="1"/>
        <v>2422.6000000000004</v>
      </c>
      <c r="AC18" s="982">
        <f t="shared" si="1"/>
        <v>8260.1</v>
      </c>
      <c r="AD18" s="982">
        <f t="shared" si="1"/>
        <v>6329.7</v>
      </c>
      <c r="AE18" s="982">
        <f t="shared" si="1"/>
        <v>25545.5</v>
      </c>
      <c r="AF18" s="982">
        <f t="shared" si="1"/>
        <v>26628</v>
      </c>
      <c r="AG18" s="982">
        <f t="shared" si="1"/>
        <v>18079.3</v>
      </c>
      <c r="AH18" s="982">
        <f t="shared" si="1"/>
        <v>35686.199999999997</v>
      </c>
      <c r="AI18" s="982">
        <f t="shared" si="1"/>
        <v>6151.4000000000005</v>
      </c>
      <c r="AJ18" s="982">
        <f t="shared" si="1"/>
        <v>35423.599999999999</v>
      </c>
      <c r="AK18" s="982">
        <f t="shared" si="1"/>
        <v>25415.82</v>
      </c>
      <c r="AL18" s="982">
        <f t="shared" si="1"/>
        <v>131398.70000000001</v>
      </c>
      <c r="AM18" s="982">
        <f t="shared" si="1"/>
        <v>444393.12</v>
      </c>
      <c r="AN18" s="982">
        <f t="shared" si="1"/>
        <v>460764.92</v>
      </c>
      <c r="AO18" s="982">
        <f t="shared" si="1"/>
        <v>-161400.42031329998</v>
      </c>
      <c r="AP18" s="335" t="s">
        <v>1760</v>
      </c>
    </row>
    <row r="19" spans="1:42" s="289" customFormat="1" ht="11.85" customHeight="1">
      <c r="A19" s="176" t="s">
        <v>603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49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603</v>
      </c>
      <c r="V19" s="175" t="s">
        <v>603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49" si="4">SUM(P19:T19)+SUM(W19:AL19)</f>
        <v>28276.590000000004</v>
      </c>
      <c r="AN19" s="254">
        <f t="shared" ref="AN19:AN47" si="5">O19+AM19</f>
        <v>28802.090000000004</v>
      </c>
      <c r="AO19" s="254">
        <f t="shared" ref="AO19:AO49" si="6">L19-AN19</f>
        <v>-5702.5060000000049</v>
      </c>
      <c r="AP19" s="228" t="s">
        <v>603</v>
      </c>
    </row>
    <row r="20" spans="1:42" s="289" customFormat="1" ht="11.85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2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1.85" customHeight="1">
      <c r="A21" s="176" t="s">
        <v>598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598</v>
      </c>
      <c r="V21" s="175" t="s">
        <v>598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598</v>
      </c>
    </row>
    <row r="22" spans="1:42" s="289" customFormat="1" ht="11.85" customHeight="1">
      <c r="A22" s="341" t="s">
        <v>605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605</v>
      </c>
      <c r="V22" s="332" t="s">
        <v>605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605</v>
      </c>
    </row>
    <row r="23" spans="1:42" s="289" customFormat="1" ht="11.85" customHeight="1">
      <c r="A23" s="176" t="s">
        <v>606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606</v>
      </c>
      <c r="V23" s="175" t="s">
        <v>606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606</v>
      </c>
    </row>
    <row r="24" spans="1:42" s="289" customFormat="1" ht="11.85" customHeight="1">
      <c r="A24" s="341" t="s">
        <v>599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599</v>
      </c>
      <c r="V24" s="332" t="s">
        <v>599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599</v>
      </c>
    </row>
    <row r="25" spans="1:42" s="289" customFormat="1" ht="11.85" customHeight="1">
      <c r="A25" s="176" t="s">
        <v>607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607</v>
      </c>
      <c r="V25" s="175" t="s">
        <v>607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607</v>
      </c>
    </row>
    <row r="26" spans="1:42" s="289" customFormat="1" ht="11.85" customHeight="1">
      <c r="A26" s="341" t="s">
        <v>608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608</v>
      </c>
      <c r="V26" s="332" t="s">
        <v>608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608</v>
      </c>
    </row>
    <row r="27" spans="1:42" s="289" customFormat="1" ht="11.85" customHeight="1">
      <c r="A27" s="176" t="s">
        <v>600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600</v>
      </c>
      <c r="V27" s="175" t="s">
        <v>600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600</v>
      </c>
    </row>
    <row r="28" spans="1:42" s="289" customFormat="1" ht="11.85" customHeight="1">
      <c r="A28" s="341" t="s">
        <v>609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609</v>
      </c>
      <c r="V28" s="332" t="s">
        <v>609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609</v>
      </c>
    </row>
    <row r="29" spans="1:42" s="289" customFormat="1" ht="11.85" customHeight="1">
      <c r="A29" s="176" t="s">
        <v>610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610</v>
      </c>
      <c r="V29" s="175" t="s">
        <v>610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610</v>
      </c>
    </row>
    <row r="30" spans="1:42" s="289" customFormat="1" ht="11.85" customHeight="1">
      <c r="A30" s="341" t="s">
        <v>601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601</v>
      </c>
      <c r="V30" s="332" t="s">
        <v>601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601</v>
      </c>
    </row>
    <row r="31" spans="1:42" s="289" customFormat="1" ht="11.85" customHeight="1">
      <c r="A31" s="1197" t="s">
        <v>2159</v>
      </c>
      <c r="B31" s="981">
        <f>SUM(B32:B43)</f>
        <v>1570</v>
      </c>
      <c r="C31" s="981">
        <f t="shared" ref="C31:T31" si="7">SUM(C32:C43)</f>
        <v>7191</v>
      </c>
      <c r="D31" s="981">
        <f t="shared" si="7"/>
        <v>17</v>
      </c>
      <c r="E31" s="981">
        <f t="shared" si="7"/>
        <v>1054</v>
      </c>
      <c r="F31" s="981">
        <f t="shared" si="7"/>
        <v>4015</v>
      </c>
      <c r="G31" s="981">
        <f t="shared" si="7"/>
        <v>283167</v>
      </c>
      <c r="H31" s="981">
        <f t="shared" si="7"/>
        <v>0</v>
      </c>
      <c r="I31" s="981">
        <f t="shared" si="7"/>
        <v>0</v>
      </c>
      <c r="J31" s="981">
        <f t="shared" si="7"/>
        <v>0</v>
      </c>
      <c r="K31" s="981">
        <f t="shared" si="7"/>
        <v>90752.823818399978</v>
      </c>
      <c r="L31" s="981">
        <f t="shared" si="7"/>
        <v>387766.82381840004</v>
      </c>
      <c r="M31" s="981">
        <f t="shared" si="7"/>
        <v>4680.0999999999995</v>
      </c>
      <c r="N31" s="981">
        <f t="shared" si="7"/>
        <v>17799.499999999996</v>
      </c>
      <c r="O31" s="981">
        <f t="shared" si="7"/>
        <v>22479.599999999999</v>
      </c>
      <c r="P31" s="981">
        <f t="shared" si="7"/>
        <v>3292.1999999999994</v>
      </c>
      <c r="Q31" s="981">
        <f t="shared" si="7"/>
        <v>2909.9000000000005</v>
      </c>
      <c r="R31" s="981">
        <f t="shared" si="7"/>
        <v>13854.400000000001</v>
      </c>
      <c r="S31" s="981">
        <f t="shared" si="7"/>
        <v>21879.8</v>
      </c>
      <c r="T31" s="981">
        <f t="shared" si="7"/>
        <v>6184.5</v>
      </c>
      <c r="U31" s="516" t="s">
        <v>2159</v>
      </c>
      <c r="V31" s="107" t="s">
        <v>2159</v>
      </c>
      <c r="W31" s="981">
        <f t="shared" ref="W31:AO31" si="8">SUM(W32:W43)</f>
        <v>10239.5</v>
      </c>
      <c r="X31" s="981">
        <f t="shared" si="8"/>
        <v>6630.9000000000005</v>
      </c>
      <c r="Y31" s="981">
        <f t="shared" si="8"/>
        <v>7574.2</v>
      </c>
      <c r="Z31" s="981">
        <f t="shared" si="8"/>
        <v>96836.7</v>
      </c>
      <c r="AA31" s="981">
        <f t="shared" si="8"/>
        <v>27750.2</v>
      </c>
      <c r="AB31" s="981">
        <f t="shared" si="8"/>
        <v>5881.6999999999989</v>
      </c>
      <c r="AC31" s="981">
        <f t="shared" si="8"/>
        <v>24972.9</v>
      </c>
      <c r="AD31" s="981">
        <f t="shared" si="8"/>
        <v>8024.1000000000013</v>
      </c>
      <c r="AE31" s="981">
        <f t="shared" si="8"/>
        <v>32009.100000000006</v>
      </c>
      <c r="AF31" s="981">
        <f t="shared" si="8"/>
        <v>35590.799999999996</v>
      </c>
      <c r="AG31" s="981">
        <f t="shared" si="8"/>
        <v>38249.700000000004</v>
      </c>
      <c r="AH31" s="981">
        <f t="shared" si="8"/>
        <v>54650</v>
      </c>
      <c r="AI31" s="981">
        <f t="shared" si="8"/>
        <v>9381.9</v>
      </c>
      <c r="AJ31" s="981">
        <f t="shared" si="8"/>
        <v>51056.5</v>
      </c>
      <c r="AK31" s="981">
        <f t="shared" si="8"/>
        <v>34918.641266736646</v>
      </c>
      <c r="AL31" s="981">
        <f t="shared" si="8"/>
        <v>173384.4</v>
      </c>
      <c r="AM31" s="981">
        <f t="shared" si="8"/>
        <v>665272.04126673657</v>
      </c>
      <c r="AN31" s="981">
        <f t="shared" si="8"/>
        <v>687751.64126673655</v>
      </c>
      <c r="AO31" s="981">
        <f t="shared" si="8"/>
        <v>-299984.81744833663</v>
      </c>
      <c r="AP31" s="516" t="s">
        <v>2159</v>
      </c>
    </row>
    <row r="32" spans="1:42" s="289" customFormat="1" ht="11.85" customHeight="1">
      <c r="A32" s="341" t="s">
        <v>603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603</v>
      </c>
      <c r="V32" s="332" t="s">
        <v>603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603</v>
      </c>
    </row>
    <row r="33" spans="1:42" s="289" customFormat="1" ht="11.85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1.85" customHeight="1">
      <c r="A34" s="341" t="s">
        <v>598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598</v>
      </c>
      <c r="V34" s="332" t="s">
        <v>598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598</v>
      </c>
    </row>
    <row r="35" spans="1:42" s="289" customFormat="1" ht="11.85" customHeight="1">
      <c r="A35" s="176" t="s">
        <v>605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605</v>
      </c>
      <c r="V35" s="175" t="s">
        <v>605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605</v>
      </c>
    </row>
    <row r="36" spans="1:42" s="289" customFormat="1" ht="11.85" customHeight="1">
      <c r="A36" s="341" t="s">
        <v>606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606</v>
      </c>
      <c r="V36" s="332" t="s">
        <v>606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606</v>
      </c>
    </row>
    <row r="37" spans="1:42" s="289" customFormat="1" ht="11.85" customHeight="1">
      <c r="A37" s="176" t="s">
        <v>599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599</v>
      </c>
      <c r="V37" s="175" t="s">
        <v>599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599</v>
      </c>
    </row>
    <row r="38" spans="1:42" s="289" customFormat="1" ht="11.85" customHeight="1">
      <c r="A38" s="341" t="s">
        <v>607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607</v>
      </c>
      <c r="V38" s="332" t="s">
        <v>607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607</v>
      </c>
    </row>
    <row r="39" spans="1:42" s="289" customFormat="1" ht="11.85" customHeight="1">
      <c r="A39" s="176" t="s">
        <v>608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608</v>
      </c>
      <c r="V39" s="175" t="s">
        <v>608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608</v>
      </c>
    </row>
    <row r="40" spans="1:42" s="289" customFormat="1" ht="11.85" customHeight="1">
      <c r="A40" s="341" t="s">
        <v>600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49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600</v>
      </c>
      <c r="V40" s="332" t="s">
        <v>600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600</v>
      </c>
    </row>
    <row r="41" spans="1:42" s="289" customFormat="1" ht="11.85" customHeight="1">
      <c r="A41" s="176" t="s">
        <v>609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609</v>
      </c>
      <c r="V41" s="175" t="s">
        <v>609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609</v>
      </c>
    </row>
    <row r="42" spans="1:42" s="289" customFormat="1" ht="11.85" customHeight="1">
      <c r="A42" s="341" t="s">
        <v>610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610</v>
      </c>
      <c r="V42" s="332" t="s">
        <v>610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610</v>
      </c>
    </row>
    <row r="43" spans="1:42" s="289" customFormat="1" ht="11.85" customHeight="1">
      <c r="A43" s="176" t="s">
        <v>601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601</v>
      </c>
      <c r="V43" s="175" t="s">
        <v>601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601</v>
      </c>
    </row>
    <row r="44" spans="1:42" s="289" customFormat="1" ht="11.85" customHeight="1">
      <c r="A44" s="342" t="s">
        <v>2476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2476</v>
      </c>
      <c r="V44" s="334" t="s">
        <v>2476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2476</v>
      </c>
    </row>
    <row r="45" spans="1:42" s="289" customFormat="1" ht="11.85" customHeight="1">
      <c r="A45" s="176" t="s">
        <v>603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603</v>
      </c>
      <c r="V45" s="175" t="s">
        <v>603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603</v>
      </c>
    </row>
    <row r="46" spans="1:42" s="289" customFormat="1" ht="11.85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613.09999999999991</v>
      </c>
      <c r="O46" s="319">
        <f t="shared" si="3"/>
        <v>804.59999999999991</v>
      </c>
      <c r="P46" s="319">
        <v>236.60000000000002</v>
      </c>
      <c r="Q46" s="319">
        <v>229.4</v>
      </c>
      <c r="R46" s="319">
        <v>1366.6000000000001</v>
      </c>
      <c r="S46" s="319">
        <v>3340.4</v>
      </c>
      <c r="T46" s="319">
        <v>769.7</v>
      </c>
      <c r="U46" s="333" t="s">
        <v>115</v>
      </c>
      <c r="V46" s="332" t="s">
        <v>115</v>
      </c>
      <c r="W46" s="319">
        <v>606.70000000000005</v>
      </c>
      <c r="X46" s="319">
        <v>559</v>
      </c>
      <c r="Y46" s="319">
        <v>780.5</v>
      </c>
      <c r="Z46" s="319">
        <v>11237.1</v>
      </c>
      <c r="AA46" s="319">
        <v>2802.3999999999996</v>
      </c>
      <c r="AB46" s="319">
        <v>163.5</v>
      </c>
      <c r="AC46" s="319">
        <v>5448.7999999999993</v>
      </c>
      <c r="AD46" s="319">
        <v>793.2</v>
      </c>
      <c r="AE46" s="319">
        <v>2857.3</v>
      </c>
      <c r="AF46" s="319">
        <v>4318</v>
      </c>
      <c r="AG46" s="319">
        <v>3173.1</v>
      </c>
      <c r="AH46" s="319">
        <v>5450.5999999999995</v>
      </c>
      <c r="AI46" s="319">
        <v>942.09999999999991</v>
      </c>
      <c r="AJ46" s="319">
        <v>5404.5999999999995</v>
      </c>
      <c r="AK46" s="319">
        <v>2987.8</v>
      </c>
      <c r="AL46" s="319">
        <v>15063.699999999993</v>
      </c>
      <c r="AM46" s="319">
        <f t="shared" si="4"/>
        <v>68531.099999999991</v>
      </c>
      <c r="AN46" s="319">
        <f t="shared" si="5"/>
        <v>69335.7</v>
      </c>
      <c r="AO46" s="319">
        <f t="shared" si="6"/>
        <v>-26475.704855199998</v>
      </c>
      <c r="AP46" s="333" t="s">
        <v>115</v>
      </c>
    </row>
    <row r="47" spans="1:42" s="289" customFormat="1" ht="11.85" customHeight="1">
      <c r="A47" s="176" t="s">
        <v>598</v>
      </c>
      <c r="B47" s="254">
        <v>143</v>
      </c>
      <c r="C47" s="254">
        <v>642</v>
      </c>
      <c r="D47" s="254">
        <v>0</v>
      </c>
      <c r="E47" s="254">
        <v>102</v>
      </c>
      <c r="F47" s="254">
        <f>89+239</f>
        <v>328</v>
      </c>
      <c r="G47" s="254">
        <v>30562</v>
      </c>
      <c r="H47" s="254">
        <v>0</v>
      </c>
      <c r="I47" s="254">
        <v>0</v>
      </c>
      <c r="J47" s="254">
        <v>0</v>
      </c>
      <c r="K47" s="254">
        <f t="shared" si="9"/>
        <v>8491.960484119998</v>
      </c>
      <c r="L47" s="254">
        <f>35061+95.6154*54.4678</f>
        <v>40268.960484119998</v>
      </c>
      <c r="M47" s="254">
        <v>390.1</v>
      </c>
      <c r="N47" s="254">
        <v>1145.8</v>
      </c>
      <c r="O47" s="254">
        <f t="shared" si="3"/>
        <v>1535.9</v>
      </c>
      <c r="P47" s="254">
        <v>449.8</v>
      </c>
      <c r="Q47" s="254">
        <v>185.8</v>
      </c>
      <c r="R47" s="254">
        <v>923.19999999999993</v>
      </c>
      <c r="S47" s="254">
        <v>2491.1</v>
      </c>
      <c r="T47" s="254">
        <v>129.5</v>
      </c>
      <c r="U47" s="228" t="s">
        <v>598</v>
      </c>
      <c r="V47" s="175" t="s">
        <v>598</v>
      </c>
      <c r="W47" s="254">
        <v>367.8</v>
      </c>
      <c r="X47" s="254">
        <v>804.09999999999991</v>
      </c>
      <c r="Y47" s="254">
        <v>742.2</v>
      </c>
      <c r="Z47" s="254">
        <v>9236.1</v>
      </c>
      <c r="AA47" s="254">
        <v>2274</v>
      </c>
      <c r="AB47" s="254">
        <v>144.5</v>
      </c>
      <c r="AC47" s="254">
        <v>6009.4</v>
      </c>
      <c r="AD47" s="254">
        <v>659.19999999999993</v>
      </c>
      <c r="AE47" s="254">
        <v>2483.6</v>
      </c>
      <c r="AF47" s="254">
        <v>4550.5</v>
      </c>
      <c r="AG47" s="254">
        <v>2630.5</v>
      </c>
      <c r="AH47" s="254">
        <v>4989.8</v>
      </c>
      <c r="AI47" s="254">
        <v>852.6</v>
      </c>
      <c r="AJ47" s="254">
        <v>4533.5</v>
      </c>
      <c r="AK47" s="254">
        <v>2813.59</v>
      </c>
      <c r="AL47" s="254">
        <v>13913.400000000001</v>
      </c>
      <c r="AM47" s="254">
        <f t="shared" si="4"/>
        <v>61184.19</v>
      </c>
      <c r="AN47" s="254">
        <f t="shared" si="5"/>
        <v>62720.090000000004</v>
      </c>
      <c r="AO47" s="254">
        <f t="shared" si="6"/>
        <v>-22451.129515880006</v>
      </c>
      <c r="AP47" s="228" t="s">
        <v>598</v>
      </c>
    </row>
    <row r="48" spans="1:42" s="289" customFormat="1" ht="11.85" customHeight="1">
      <c r="A48" s="341" t="s">
        <v>605</v>
      </c>
      <c r="B48" s="319">
        <v>152</v>
      </c>
      <c r="C48" s="319">
        <v>675</v>
      </c>
      <c r="D48" s="319">
        <v>1</v>
      </c>
      <c r="E48" s="319">
        <v>119</v>
      </c>
      <c r="F48" s="319">
        <f>101+236</f>
        <v>337</v>
      </c>
      <c r="G48" s="319">
        <v>28166</v>
      </c>
      <c r="H48" s="319">
        <v>0</v>
      </c>
      <c r="I48" s="319">
        <v>0</v>
      </c>
      <c r="J48" s="319">
        <v>0</v>
      </c>
      <c r="K48" s="319">
        <f t="shared" si="9"/>
        <v>8880.0580483800004</v>
      </c>
      <c r="L48" s="319">
        <f>32809+96.6154*57.1447</f>
        <v>38330.05804838</v>
      </c>
      <c r="M48" s="319">
        <v>495.8</v>
      </c>
      <c r="N48" s="319">
        <v>1375.8</v>
      </c>
      <c r="O48" s="319">
        <f t="shared" si="3"/>
        <v>1871.6</v>
      </c>
      <c r="P48" s="319">
        <v>340.4</v>
      </c>
      <c r="Q48" s="319">
        <v>231.9</v>
      </c>
      <c r="R48" s="319">
        <v>595.5</v>
      </c>
      <c r="S48" s="319">
        <v>3304.2</v>
      </c>
      <c r="T48" s="319">
        <v>868.6</v>
      </c>
      <c r="U48" s="333" t="s">
        <v>605</v>
      </c>
      <c r="V48" s="332" t="s">
        <v>605</v>
      </c>
      <c r="W48" s="319">
        <v>402.1</v>
      </c>
      <c r="X48" s="319">
        <v>798.8</v>
      </c>
      <c r="Y48" s="319">
        <v>1469</v>
      </c>
      <c r="Z48" s="319">
        <v>10464.300000000001</v>
      </c>
      <c r="AA48" s="319">
        <v>2689.3</v>
      </c>
      <c r="AB48" s="319">
        <v>147.89999999999998</v>
      </c>
      <c r="AC48" s="319">
        <v>4404.7999999999993</v>
      </c>
      <c r="AD48" s="319">
        <v>622.29999999999995</v>
      </c>
      <c r="AE48" s="319">
        <v>2149.1000000000004</v>
      </c>
      <c r="AF48" s="319">
        <v>4124.2</v>
      </c>
      <c r="AG48" s="319">
        <v>2183.2000000000003</v>
      </c>
      <c r="AH48" s="319">
        <v>4462.6000000000004</v>
      </c>
      <c r="AI48" s="319">
        <v>723.59999999999991</v>
      </c>
      <c r="AJ48" s="319">
        <v>3943.8999999999996</v>
      </c>
      <c r="AK48" s="319">
        <v>2894.6099999999997</v>
      </c>
      <c r="AL48" s="319">
        <v>13258.999999999993</v>
      </c>
      <c r="AM48" s="319">
        <f t="shared" si="4"/>
        <v>60079.30999999999</v>
      </c>
      <c r="AN48" s="319">
        <f>O48+AM48</f>
        <v>61950.909999999989</v>
      </c>
      <c r="AO48" s="319">
        <f t="shared" si="6"/>
        <v>-23620.851951619989</v>
      </c>
      <c r="AP48" s="333" t="s">
        <v>605</v>
      </c>
    </row>
    <row r="49" spans="1:44" s="289" customFormat="1" ht="11.85" customHeight="1" thickBot="1">
      <c r="A49" s="1684" t="s">
        <v>606</v>
      </c>
      <c r="B49" s="1685">
        <v>153</v>
      </c>
      <c r="C49" s="1685">
        <v>687</v>
      </c>
      <c r="D49" s="1685">
        <v>0</v>
      </c>
      <c r="E49" s="1685">
        <v>92</v>
      </c>
      <c r="F49" s="1685">
        <f>110+232</f>
        <v>342</v>
      </c>
      <c r="G49" s="1685">
        <v>26616</v>
      </c>
      <c r="H49" s="1685">
        <v>0</v>
      </c>
      <c r="I49" s="1685">
        <v>0</v>
      </c>
      <c r="J49" s="1685">
        <v>0</v>
      </c>
      <c r="K49" s="1685">
        <f t="shared" si="9"/>
        <v>8913.0588464600005</v>
      </c>
      <c r="L49" s="1685">
        <f>30993+97.6154*59.5199</f>
        <v>36803.05884646</v>
      </c>
      <c r="M49" s="1685">
        <v>747.69999999999993</v>
      </c>
      <c r="N49" s="1685">
        <v>1608.8</v>
      </c>
      <c r="O49" s="1685">
        <f t="shared" si="3"/>
        <v>2356.5</v>
      </c>
      <c r="P49" s="1685">
        <v>295.29999999999995</v>
      </c>
      <c r="Q49" s="1685">
        <v>228.5</v>
      </c>
      <c r="R49" s="1685">
        <v>822.3</v>
      </c>
      <c r="S49" s="1685">
        <v>1989.3</v>
      </c>
      <c r="T49" s="1685">
        <v>462.1</v>
      </c>
      <c r="U49" s="1686" t="s">
        <v>606</v>
      </c>
      <c r="V49" s="1669" t="s">
        <v>606</v>
      </c>
      <c r="W49" s="1685">
        <v>614.29999999999995</v>
      </c>
      <c r="X49" s="1685">
        <v>801.90000000000009</v>
      </c>
      <c r="Y49" s="1685">
        <v>722.6</v>
      </c>
      <c r="Z49" s="1685">
        <v>8901.9</v>
      </c>
      <c r="AA49" s="1685">
        <v>2367.4</v>
      </c>
      <c r="AB49" s="1685">
        <v>163.80000000000001</v>
      </c>
      <c r="AC49" s="1685">
        <v>5000.2999999999993</v>
      </c>
      <c r="AD49" s="1685">
        <v>542.79999999999995</v>
      </c>
      <c r="AE49" s="1685">
        <v>2213.1999999999998</v>
      </c>
      <c r="AF49" s="1685">
        <v>3881.8</v>
      </c>
      <c r="AG49" s="1685">
        <v>2181.5</v>
      </c>
      <c r="AH49" s="1685">
        <v>4830.1000000000004</v>
      </c>
      <c r="AI49" s="1685">
        <v>832</v>
      </c>
      <c r="AJ49" s="1685">
        <v>3606.2999999999997</v>
      </c>
      <c r="AK49" s="1685">
        <v>2644.62</v>
      </c>
      <c r="AL49" s="1685">
        <v>11989.899999999998</v>
      </c>
      <c r="AM49" s="1685">
        <f t="shared" si="4"/>
        <v>55091.92</v>
      </c>
      <c r="AN49" s="1685">
        <f>O49+AM49</f>
        <v>57448.42</v>
      </c>
      <c r="AO49" s="1685">
        <f t="shared" si="6"/>
        <v>-20645.361153539998</v>
      </c>
      <c r="AP49" s="1686" t="s">
        <v>606</v>
      </c>
    </row>
    <row r="50" spans="1:44" s="40" customFormat="1" ht="10.5" customHeight="1">
      <c r="A50" s="222" t="s">
        <v>788</v>
      </c>
      <c r="B50" s="696" t="s">
        <v>1449</v>
      </c>
      <c r="C50" s="696"/>
      <c r="D50" s="696"/>
      <c r="E50" s="696"/>
      <c r="F50" s="696"/>
      <c r="G50" s="696"/>
      <c r="H50" s="696"/>
      <c r="I50" s="696"/>
      <c r="J50" s="44"/>
      <c r="K50" s="421"/>
      <c r="M50" s="223" t="s">
        <v>1522</v>
      </c>
      <c r="N50" s="1853" t="s">
        <v>1674</v>
      </c>
      <c r="O50" s="1853"/>
      <c r="P50" s="1853"/>
      <c r="Q50" s="1853"/>
      <c r="R50" s="1853"/>
      <c r="S50" s="1853"/>
      <c r="T50" s="1853"/>
      <c r="U50" s="1853"/>
      <c r="V50" s="214" t="s">
        <v>16</v>
      </c>
      <c r="W50" s="2099" t="s">
        <v>1366</v>
      </c>
      <c r="X50" s="2099"/>
      <c r="Y50" s="2099"/>
      <c r="Z50" s="2099"/>
      <c r="AA50" s="2099"/>
      <c r="AB50" s="2099"/>
      <c r="AC50" s="2099"/>
      <c r="AD50" s="1702"/>
      <c r="AE50" s="44"/>
      <c r="AF50" s="213"/>
      <c r="AG50" s="213"/>
      <c r="AH50" s="144"/>
      <c r="AI50" s="144"/>
      <c r="AJ50" s="144"/>
      <c r="AK50" s="144"/>
      <c r="AL50" s="144"/>
      <c r="AM50" s="422"/>
      <c r="AN50" s="1652"/>
      <c r="AO50" s="213"/>
      <c r="AP50" s="224"/>
    </row>
    <row r="51" spans="1:44" s="40" customFormat="1" ht="10.5" customHeight="1">
      <c r="A51" s="212" t="s">
        <v>787</v>
      </c>
      <c r="B51" s="2099" t="s">
        <v>1363</v>
      </c>
      <c r="C51" s="2099"/>
      <c r="D51" s="2099"/>
      <c r="E51" s="2099"/>
      <c r="F51" s="2099"/>
      <c r="G51" s="2099"/>
      <c r="H51" s="2099"/>
      <c r="I51" s="213"/>
      <c r="J51" s="213"/>
      <c r="K51" s="213" t="s">
        <v>406</v>
      </c>
      <c r="L51" s="696"/>
      <c r="N51" s="225"/>
      <c r="O51" s="2100"/>
      <c r="P51" s="2100"/>
      <c r="U51" s="215"/>
      <c r="V51" s="224"/>
      <c r="W51" s="2100" t="s">
        <v>406</v>
      </c>
      <c r="X51" s="2100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1065"/>
      <c r="AN51" s="1065"/>
      <c r="AO51" s="44"/>
      <c r="AP51" s="224"/>
      <c r="AR51" s="1074"/>
    </row>
    <row r="52" spans="1:44">
      <c r="A52" s="212"/>
      <c r="B52" s="2100"/>
      <c r="C52" s="2100"/>
      <c r="D52" s="2100"/>
      <c r="E52" s="2100"/>
      <c r="F52" s="1702"/>
      <c r="G52" s="1703"/>
      <c r="H52" s="1703"/>
      <c r="I52" s="213"/>
      <c r="J52" s="213"/>
      <c r="K52" s="213"/>
      <c r="L52" s="696"/>
      <c r="M52" s="40"/>
      <c r="N52" s="225"/>
      <c r="O52" s="1703"/>
      <c r="P52" s="1703"/>
      <c r="Q52" s="40"/>
      <c r="R52" s="40"/>
      <c r="S52" s="40"/>
      <c r="T52" s="40"/>
      <c r="U52" s="215"/>
      <c r="V52" s="22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224"/>
      <c r="AR52" s="669"/>
    </row>
    <row r="53" spans="1:44" ht="10.5" customHeight="1">
      <c r="C53" s="669"/>
      <c r="E53" s="669"/>
      <c r="F53" s="669"/>
      <c r="G53" s="669"/>
      <c r="H53" s="669"/>
      <c r="I53" s="669"/>
      <c r="K53" s="422"/>
      <c r="L53" s="1079"/>
      <c r="M53" s="1644"/>
    </row>
    <row r="54" spans="1:44">
      <c r="B54" s="69"/>
      <c r="C54" s="69"/>
      <c r="D54" s="69"/>
      <c r="E54" s="1387"/>
      <c r="F54" s="69"/>
      <c r="G54" s="1387"/>
      <c r="H54" s="1387"/>
      <c r="I54" s="69"/>
      <c r="J54" s="69"/>
      <c r="K54" s="69"/>
      <c r="L54" s="69"/>
      <c r="M54" s="1645"/>
      <c r="N54" s="69"/>
      <c r="O54" s="69"/>
      <c r="P54" s="69"/>
      <c r="Q54" s="69"/>
      <c r="R54" s="69"/>
      <c r="S54" s="69"/>
      <c r="T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1:44">
      <c r="C55" s="669"/>
      <c r="E55" s="669"/>
      <c r="F55" s="901"/>
      <c r="G55" s="669"/>
      <c r="H55" s="669"/>
      <c r="I55" s="1208"/>
      <c r="M55" s="669"/>
      <c r="N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</row>
    <row r="56" spans="1:44">
      <c r="B56" s="669"/>
      <c r="C56" s="669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  <c r="AK56" s="669"/>
      <c r="AL56" s="669"/>
      <c r="AM56" s="669"/>
      <c r="AN56" s="669"/>
      <c r="AO56" s="669"/>
      <c r="AP56" s="669"/>
    </row>
    <row r="57" spans="1:44">
      <c r="C57" s="669"/>
      <c r="G57" s="669"/>
      <c r="H57" s="669"/>
      <c r="J57" s="669"/>
      <c r="K57" s="669"/>
      <c r="L57" s="1080"/>
      <c r="W57" s="669"/>
    </row>
    <row r="58" spans="1:44">
      <c r="J58" s="669"/>
      <c r="K58" s="669"/>
      <c r="W58" s="669"/>
    </row>
    <row r="59" spans="1:44">
      <c r="G59" s="669"/>
      <c r="J59" s="669"/>
      <c r="W59" s="669"/>
    </row>
    <row r="60" spans="1:44">
      <c r="J60" s="669"/>
      <c r="W60" s="669"/>
    </row>
    <row r="61" spans="1:44">
      <c r="J61" s="669"/>
    </row>
    <row r="62" spans="1:44">
      <c r="W62" s="669"/>
    </row>
    <row r="63" spans="1:44">
      <c r="W63" s="669"/>
    </row>
    <row r="64" spans="1:44">
      <c r="W64" s="669"/>
    </row>
    <row r="66" spans="23:23">
      <c r="W66" s="669"/>
    </row>
    <row r="67" spans="23:23">
      <c r="W67" s="669"/>
    </row>
    <row r="68" spans="23:23">
      <c r="W68" s="669"/>
    </row>
    <row r="69" spans="23:23">
      <c r="W69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1:H51"/>
    <mergeCell ref="O51:P51"/>
    <mergeCell ref="W51:X51"/>
    <mergeCell ref="B52:C52"/>
    <mergeCell ref="D52:E52"/>
    <mergeCell ref="N50:U50"/>
    <mergeCell ref="W50:AC50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45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05" t="s">
        <v>122</v>
      </c>
      <c r="B1" s="2105"/>
      <c r="C1" s="2105"/>
      <c r="D1" s="2105"/>
      <c r="E1" s="2105"/>
      <c r="F1" s="2105"/>
      <c r="G1" s="2105"/>
      <c r="H1" s="2106" t="s">
        <v>123</v>
      </c>
      <c r="I1" s="2106"/>
      <c r="J1" s="2106"/>
      <c r="K1" s="2106"/>
      <c r="M1" s="2105" t="s">
        <v>239</v>
      </c>
      <c r="N1" s="2105"/>
      <c r="O1" s="2105" t="s">
        <v>122</v>
      </c>
      <c r="P1" s="2105"/>
      <c r="Q1" s="2105"/>
      <c r="R1" s="2105"/>
      <c r="S1" s="2105"/>
      <c r="T1" s="2105"/>
      <c r="U1" s="2105"/>
      <c r="V1" s="2106" t="s">
        <v>123</v>
      </c>
      <c r="W1" s="2106"/>
      <c r="X1" s="2106"/>
      <c r="Y1" s="2106"/>
      <c r="Z1" s="24"/>
      <c r="AA1" s="2104" t="s">
        <v>300</v>
      </c>
      <c r="AB1" s="2104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07" t="s">
        <v>524</v>
      </c>
      <c r="B3" s="2110" t="s">
        <v>179</v>
      </c>
      <c r="C3" s="2111"/>
      <c r="D3" s="2110" t="s">
        <v>180</v>
      </c>
      <c r="E3" s="2111"/>
      <c r="F3" s="2110" t="s">
        <v>181</v>
      </c>
      <c r="G3" s="2111"/>
      <c r="H3" s="2110" t="s">
        <v>536</v>
      </c>
      <c r="I3" s="2111"/>
      <c r="J3" s="2110" t="s">
        <v>298</v>
      </c>
      <c r="K3" s="2111"/>
      <c r="L3" s="2110" t="s">
        <v>299</v>
      </c>
      <c r="M3" s="2111"/>
      <c r="N3" s="2107" t="s">
        <v>524</v>
      </c>
      <c r="O3" s="2107" t="s">
        <v>524</v>
      </c>
      <c r="P3" s="2110" t="s">
        <v>301</v>
      </c>
      <c r="Q3" s="2111"/>
      <c r="R3" s="2110" t="s">
        <v>302</v>
      </c>
      <c r="S3" s="2111"/>
      <c r="T3" s="2110" t="s">
        <v>303</v>
      </c>
      <c r="U3" s="2111"/>
      <c r="V3" s="2110" t="s">
        <v>112</v>
      </c>
      <c r="W3" s="2111"/>
      <c r="X3" s="2110" t="s">
        <v>304</v>
      </c>
      <c r="Y3" s="2111"/>
      <c r="Z3" s="2110" t="s">
        <v>118</v>
      </c>
      <c r="AA3" s="2111"/>
      <c r="AB3" s="2107" t="s">
        <v>524</v>
      </c>
    </row>
    <row r="4" spans="1:29" s="680" customFormat="1" ht="23.25" customHeight="1">
      <c r="A4" s="2108"/>
      <c r="B4" s="1950" t="s">
        <v>1730</v>
      </c>
      <c r="C4" s="1950" t="s">
        <v>1733</v>
      </c>
      <c r="D4" s="1950" t="s">
        <v>1730</v>
      </c>
      <c r="E4" s="1950" t="s">
        <v>2085</v>
      </c>
      <c r="F4" s="1950" t="s">
        <v>1730</v>
      </c>
      <c r="G4" s="1950" t="s">
        <v>2085</v>
      </c>
      <c r="H4" s="1950" t="s">
        <v>2117</v>
      </c>
      <c r="I4" s="1950" t="s">
        <v>874</v>
      </c>
      <c r="J4" s="1950" t="s">
        <v>2116</v>
      </c>
      <c r="K4" s="1950" t="s">
        <v>874</v>
      </c>
      <c r="L4" s="1950" t="s">
        <v>1730</v>
      </c>
      <c r="M4" s="1950" t="s">
        <v>1732</v>
      </c>
      <c r="N4" s="2108"/>
      <c r="O4" s="2108"/>
      <c r="P4" s="1950" t="s">
        <v>1730</v>
      </c>
      <c r="Q4" s="1950" t="s">
        <v>874</v>
      </c>
      <c r="R4" s="1950" t="s">
        <v>1730</v>
      </c>
      <c r="S4" s="1950" t="s">
        <v>874</v>
      </c>
      <c r="T4" s="1950" t="s">
        <v>1730</v>
      </c>
      <c r="U4" s="1950" t="s">
        <v>874</v>
      </c>
      <c r="V4" s="1950" t="s">
        <v>1730</v>
      </c>
      <c r="W4" s="1950" t="s">
        <v>874</v>
      </c>
      <c r="X4" s="1950" t="s">
        <v>1731</v>
      </c>
      <c r="Y4" s="1950" t="s">
        <v>874</v>
      </c>
      <c r="Z4" s="1950" t="s">
        <v>1730</v>
      </c>
      <c r="AA4" s="1950" t="s">
        <v>874</v>
      </c>
      <c r="AB4" s="2108"/>
    </row>
    <row r="5" spans="1:29" s="680" customFormat="1" ht="21" customHeight="1">
      <c r="A5" s="2109"/>
      <c r="B5" s="1952"/>
      <c r="C5" s="1952"/>
      <c r="D5" s="1952"/>
      <c r="E5" s="1952"/>
      <c r="F5" s="1952"/>
      <c r="G5" s="1952"/>
      <c r="H5" s="1952"/>
      <c r="I5" s="1952"/>
      <c r="J5" s="1952"/>
      <c r="K5" s="1952"/>
      <c r="L5" s="1952"/>
      <c r="M5" s="1952"/>
      <c r="N5" s="2109"/>
      <c r="O5" s="2109"/>
      <c r="P5" s="1952"/>
      <c r="Q5" s="1952"/>
      <c r="R5" s="1952"/>
      <c r="S5" s="1952"/>
      <c r="T5" s="1952"/>
      <c r="U5" s="1952"/>
      <c r="V5" s="1952"/>
      <c r="W5" s="1952"/>
      <c r="X5" s="1952"/>
      <c r="Y5" s="1952"/>
      <c r="Z5" s="1952"/>
      <c r="AA5" s="1952"/>
      <c r="AB5" s="2109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587</v>
      </c>
      <c r="B7" s="785">
        <v>1791</v>
      </c>
      <c r="C7" s="785">
        <v>4111</v>
      </c>
      <c r="D7" s="785">
        <v>8509</v>
      </c>
      <c r="E7" s="785">
        <v>13824</v>
      </c>
      <c r="F7" s="785">
        <v>6538</v>
      </c>
      <c r="G7" s="785">
        <v>6582</v>
      </c>
      <c r="H7" s="785">
        <v>1245</v>
      </c>
      <c r="I7" s="785">
        <v>1580</v>
      </c>
      <c r="J7" s="785">
        <v>7446</v>
      </c>
      <c r="K7" s="785">
        <v>445</v>
      </c>
      <c r="L7" s="785">
        <v>245</v>
      </c>
      <c r="M7" s="785">
        <v>833</v>
      </c>
      <c r="N7" s="605" t="s">
        <v>587</v>
      </c>
      <c r="O7" s="1412" t="s">
        <v>587</v>
      </c>
      <c r="P7" s="785">
        <v>32</v>
      </c>
      <c r="Q7" s="785">
        <v>133</v>
      </c>
      <c r="R7" s="785">
        <v>168</v>
      </c>
      <c r="S7" s="785">
        <v>512</v>
      </c>
      <c r="T7" s="785">
        <v>38</v>
      </c>
      <c r="U7" s="785">
        <v>89</v>
      </c>
      <c r="V7" s="785">
        <v>52</v>
      </c>
      <c r="W7" s="785">
        <v>118</v>
      </c>
      <c r="X7" s="785">
        <v>964</v>
      </c>
      <c r="Y7" s="785">
        <v>1383</v>
      </c>
      <c r="Z7" s="785">
        <v>13</v>
      </c>
      <c r="AA7" s="785">
        <v>86</v>
      </c>
      <c r="AB7" s="353" t="s">
        <v>587</v>
      </c>
    </row>
    <row r="8" spans="1:29" s="8" customFormat="1" ht="17.45" customHeight="1">
      <c r="A8" s="267" t="s">
        <v>588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588</v>
      </c>
      <c r="O8" s="267" t="s">
        <v>588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588</v>
      </c>
    </row>
    <row r="9" spans="1:29" s="8" customFormat="1" ht="17.45" customHeight="1">
      <c r="A9" s="1412" t="s">
        <v>589</v>
      </c>
      <c r="B9" s="785">
        <v>1871</v>
      </c>
      <c r="C9" s="785">
        <v>3935</v>
      </c>
      <c r="D9" s="785">
        <v>9552</v>
      </c>
      <c r="E9" s="785">
        <v>14399</v>
      </c>
      <c r="F9" s="785">
        <v>7460</v>
      </c>
      <c r="G9" s="785">
        <v>6876</v>
      </c>
      <c r="H9" s="785">
        <v>1454</v>
      </c>
      <c r="I9" s="785">
        <v>1749</v>
      </c>
      <c r="J9" s="785">
        <v>7520</v>
      </c>
      <c r="K9" s="785">
        <v>434</v>
      </c>
      <c r="L9" s="785">
        <v>249</v>
      </c>
      <c r="M9" s="785">
        <v>831</v>
      </c>
      <c r="N9" s="353" t="s">
        <v>589</v>
      </c>
      <c r="O9" s="1412" t="s">
        <v>589</v>
      </c>
      <c r="P9" s="785">
        <v>34</v>
      </c>
      <c r="Q9" s="785">
        <v>136</v>
      </c>
      <c r="R9" s="785">
        <v>171</v>
      </c>
      <c r="S9" s="785">
        <v>510</v>
      </c>
      <c r="T9" s="785">
        <v>38</v>
      </c>
      <c r="U9" s="785">
        <v>86</v>
      </c>
      <c r="V9" s="785">
        <v>53</v>
      </c>
      <c r="W9" s="785">
        <v>119</v>
      </c>
      <c r="X9" s="785">
        <v>883</v>
      </c>
      <c r="Y9" s="785">
        <v>1253</v>
      </c>
      <c r="Z9" s="785">
        <v>14</v>
      </c>
      <c r="AA9" s="785">
        <v>91</v>
      </c>
      <c r="AB9" s="353" t="s">
        <v>589</v>
      </c>
    </row>
    <row r="10" spans="1:29" s="8" customFormat="1" ht="17.45" customHeight="1">
      <c r="A10" s="267" t="s">
        <v>590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590</v>
      </c>
      <c r="O10" s="267" t="s">
        <v>590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590</v>
      </c>
    </row>
    <row r="11" spans="1:29" s="8" customFormat="1" ht="17.45" customHeight="1">
      <c r="A11" s="1412" t="s">
        <v>591</v>
      </c>
      <c r="B11" s="785">
        <v>1617</v>
      </c>
      <c r="C11" s="785">
        <v>3519</v>
      </c>
      <c r="D11" s="785">
        <v>7736</v>
      </c>
      <c r="E11" s="785">
        <v>12762</v>
      </c>
      <c r="F11" s="785">
        <v>10552</v>
      </c>
      <c r="G11" s="785">
        <v>8715</v>
      </c>
      <c r="H11" s="785">
        <v>1988</v>
      </c>
      <c r="I11" s="785">
        <v>2180</v>
      </c>
      <c r="J11" s="785">
        <v>6951</v>
      </c>
      <c r="K11" s="785">
        <v>430</v>
      </c>
      <c r="L11" s="785">
        <v>253</v>
      </c>
      <c r="M11" s="785">
        <v>850</v>
      </c>
      <c r="N11" s="353" t="s">
        <v>591</v>
      </c>
      <c r="O11" s="1412" t="s">
        <v>591</v>
      </c>
      <c r="P11" s="785">
        <v>34</v>
      </c>
      <c r="Q11" s="785">
        <v>137</v>
      </c>
      <c r="R11" s="785">
        <v>165</v>
      </c>
      <c r="S11" s="785">
        <v>508</v>
      </c>
      <c r="T11" s="785">
        <v>29</v>
      </c>
      <c r="U11" s="785">
        <v>78</v>
      </c>
      <c r="V11" s="785">
        <v>56</v>
      </c>
      <c r="W11" s="785">
        <v>120</v>
      </c>
      <c r="X11" s="785">
        <v>812</v>
      </c>
      <c r="Y11" s="785">
        <v>1181</v>
      </c>
      <c r="Z11" s="785" t="s">
        <v>626</v>
      </c>
      <c r="AA11" s="785" t="s">
        <v>626</v>
      </c>
      <c r="AB11" s="353" t="s">
        <v>591</v>
      </c>
    </row>
    <row r="12" spans="1:29" s="8" customFormat="1" ht="17.45" customHeight="1">
      <c r="A12" s="267" t="s">
        <v>592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592</v>
      </c>
      <c r="O12" s="267" t="s">
        <v>592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626</v>
      </c>
      <c r="AA12" s="73" t="s">
        <v>626</v>
      </c>
      <c r="AB12" s="668" t="s">
        <v>592</v>
      </c>
    </row>
    <row r="13" spans="1:29" s="8" customFormat="1" ht="17.45" customHeight="1">
      <c r="A13" s="1412" t="s">
        <v>593</v>
      </c>
      <c r="B13" s="785">
        <v>1916</v>
      </c>
      <c r="C13" s="785">
        <v>3275</v>
      </c>
      <c r="D13" s="785">
        <v>11249</v>
      </c>
      <c r="E13" s="785">
        <v>14110</v>
      </c>
      <c r="F13" s="785">
        <v>11921</v>
      </c>
      <c r="G13" s="785">
        <v>9296</v>
      </c>
      <c r="H13" s="785">
        <v>1673</v>
      </c>
      <c r="I13" s="785">
        <v>1909</v>
      </c>
      <c r="J13" s="785">
        <v>6742</v>
      </c>
      <c r="K13" s="785">
        <v>417</v>
      </c>
      <c r="L13" s="785">
        <v>238</v>
      </c>
      <c r="M13" s="785">
        <v>785</v>
      </c>
      <c r="N13" s="353" t="s">
        <v>593</v>
      </c>
      <c r="O13" s="1412" t="s">
        <v>593</v>
      </c>
      <c r="P13" s="785">
        <v>34</v>
      </c>
      <c r="Q13" s="785">
        <v>130</v>
      </c>
      <c r="R13" s="785">
        <v>126</v>
      </c>
      <c r="S13" s="785">
        <v>406</v>
      </c>
      <c r="T13" s="785">
        <v>37</v>
      </c>
      <c r="U13" s="785">
        <v>74</v>
      </c>
      <c r="V13" s="785">
        <v>52</v>
      </c>
      <c r="W13" s="785">
        <v>120</v>
      </c>
      <c r="X13" s="785">
        <v>821</v>
      </c>
      <c r="Y13" s="785">
        <v>1107</v>
      </c>
      <c r="Z13" s="785">
        <v>27</v>
      </c>
      <c r="AA13" s="785">
        <v>40</v>
      </c>
      <c r="AB13" s="353" t="s">
        <v>593</v>
      </c>
    </row>
    <row r="14" spans="1:29" s="8" customFormat="1" ht="17.45" customHeight="1">
      <c r="A14" s="267" t="s">
        <v>594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594</v>
      </c>
      <c r="O14" s="267" t="s">
        <v>594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594</v>
      </c>
    </row>
    <row r="15" spans="1:29" s="8" customFormat="1" ht="17.45" customHeight="1">
      <c r="A15" s="1412" t="s">
        <v>595</v>
      </c>
      <c r="B15" s="785">
        <v>1850</v>
      </c>
      <c r="C15" s="785">
        <v>3073</v>
      </c>
      <c r="D15" s="785">
        <v>11115</v>
      </c>
      <c r="E15" s="785">
        <v>14041</v>
      </c>
      <c r="F15" s="785">
        <v>12222</v>
      </c>
      <c r="G15" s="785">
        <v>9501</v>
      </c>
      <c r="H15" s="785">
        <v>1507</v>
      </c>
      <c r="I15" s="785">
        <v>1746</v>
      </c>
      <c r="J15" s="785">
        <v>6838</v>
      </c>
      <c r="K15" s="785">
        <v>410</v>
      </c>
      <c r="L15" s="785">
        <v>218</v>
      </c>
      <c r="M15" s="785">
        <v>735</v>
      </c>
      <c r="N15" s="353" t="s">
        <v>595</v>
      </c>
      <c r="O15" s="1412" t="s">
        <v>595</v>
      </c>
      <c r="P15" s="785">
        <v>30</v>
      </c>
      <c r="Q15" s="785">
        <v>109</v>
      </c>
      <c r="R15" s="785">
        <v>116</v>
      </c>
      <c r="S15" s="785">
        <v>381</v>
      </c>
      <c r="T15" s="785">
        <v>38</v>
      </c>
      <c r="U15" s="785">
        <v>75</v>
      </c>
      <c r="V15" s="785">
        <v>58</v>
      </c>
      <c r="W15" s="785">
        <v>126</v>
      </c>
      <c r="X15" s="785">
        <v>800</v>
      </c>
      <c r="Y15" s="785">
        <v>1079</v>
      </c>
      <c r="Z15" s="785">
        <v>24</v>
      </c>
      <c r="AA15" s="785">
        <v>38</v>
      </c>
      <c r="AB15" s="353" t="s">
        <v>595</v>
      </c>
    </row>
    <row r="16" spans="1:29" s="8" customFormat="1" ht="17.45" customHeight="1">
      <c r="A16" s="267" t="s">
        <v>596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596</v>
      </c>
      <c r="O16" s="267" t="s">
        <v>596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596</v>
      </c>
    </row>
    <row r="17" spans="1:30" s="8" customFormat="1" ht="17.45" customHeight="1">
      <c r="A17" s="1412" t="s">
        <v>597</v>
      </c>
      <c r="B17" s="785">
        <v>1500</v>
      </c>
      <c r="C17" s="785">
        <v>2532</v>
      </c>
      <c r="D17" s="785">
        <v>9820</v>
      </c>
      <c r="E17" s="785">
        <v>13047</v>
      </c>
      <c r="F17" s="785">
        <v>13837</v>
      </c>
      <c r="G17" s="785">
        <v>10042</v>
      </c>
      <c r="H17" s="785">
        <v>976</v>
      </c>
      <c r="I17" s="785">
        <v>1380</v>
      </c>
      <c r="J17" s="785">
        <v>6423</v>
      </c>
      <c r="K17" s="785">
        <v>388</v>
      </c>
      <c r="L17" s="785">
        <v>191</v>
      </c>
      <c r="M17" s="785">
        <v>597</v>
      </c>
      <c r="N17" s="353" t="s">
        <v>597</v>
      </c>
      <c r="O17" s="1412" t="s">
        <v>597</v>
      </c>
      <c r="P17" s="785">
        <v>18</v>
      </c>
      <c r="Q17" s="785">
        <v>60</v>
      </c>
      <c r="R17" s="785">
        <v>121</v>
      </c>
      <c r="S17" s="785">
        <v>380</v>
      </c>
      <c r="T17" s="785">
        <v>38</v>
      </c>
      <c r="U17" s="785">
        <v>78</v>
      </c>
      <c r="V17" s="785">
        <v>58</v>
      </c>
      <c r="W17" s="785">
        <v>132</v>
      </c>
      <c r="X17" s="785">
        <v>1035</v>
      </c>
      <c r="Y17" s="785">
        <v>965</v>
      </c>
      <c r="Z17" s="785">
        <v>3</v>
      </c>
      <c r="AA17" s="785">
        <v>4</v>
      </c>
      <c r="AB17" s="353" t="s">
        <v>597</v>
      </c>
    </row>
    <row r="18" spans="1:30" s="8" customFormat="1" ht="17.45" customHeight="1">
      <c r="A18" s="267" t="s">
        <v>602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602</v>
      </c>
      <c r="O18" s="1411" t="s">
        <v>602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602</v>
      </c>
    </row>
    <row r="19" spans="1:30" s="8" customFormat="1" ht="17.45" customHeight="1">
      <c r="A19" s="1412" t="s">
        <v>611</v>
      </c>
      <c r="B19" s="785">
        <v>1512</v>
      </c>
      <c r="C19" s="785">
        <v>2238</v>
      </c>
      <c r="D19" s="785">
        <v>10841</v>
      </c>
      <c r="E19" s="785">
        <v>13382</v>
      </c>
      <c r="F19" s="785">
        <v>14965</v>
      </c>
      <c r="G19" s="785">
        <v>10522</v>
      </c>
      <c r="H19" s="785">
        <v>737</v>
      </c>
      <c r="I19" s="785">
        <v>988</v>
      </c>
      <c r="J19" s="785">
        <v>5770</v>
      </c>
      <c r="K19" s="785">
        <v>371</v>
      </c>
      <c r="L19" s="785">
        <v>189</v>
      </c>
      <c r="M19" s="785">
        <v>520</v>
      </c>
      <c r="N19" s="353" t="s">
        <v>611</v>
      </c>
      <c r="O19" s="1412" t="s">
        <v>611</v>
      </c>
      <c r="P19" s="785">
        <v>19</v>
      </c>
      <c r="Q19" s="785">
        <v>60</v>
      </c>
      <c r="R19" s="785">
        <v>117</v>
      </c>
      <c r="S19" s="785">
        <v>340</v>
      </c>
      <c r="T19" s="785">
        <v>39</v>
      </c>
      <c r="U19" s="785">
        <v>76</v>
      </c>
      <c r="V19" s="322">
        <v>58</v>
      </c>
      <c r="W19" s="322">
        <v>129</v>
      </c>
      <c r="X19" s="785">
        <v>879</v>
      </c>
      <c r="Y19" s="785">
        <v>1034</v>
      </c>
      <c r="Z19" s="785">
        <v>18</v>
      </c>
      <c r="AA19" s="785">
        <v>25</v>
      </c>
      <c r="AB19" s="353" t="s">
        <v>611</v>
      </c>
    </row>
    <row r="20" spans="1:30" s="9" customFormat="1" ht="17.45" customHeight="1">
      <c r="A20" s="1411" t="s">
        <v>361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361</v>
      </c>
      <c r="O20" s="1411" t="s">
        <v>361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361</v>
      </c>
    </row>
    <row r="21" spans="1:30" s="9" customFormat="1" ht="17.45" customHeight="1">
      <c r="A21" s="1412" t="s">
        <v>85</v>
      </c>
      <c r="B21" s="785">
        <v>1895</v>
      </c>
      <c r="C21" s="785">
        <v>2633</v>
      </c>
      <c r="D21" s="785">
        <v>11613</v>
      </c>
      <c r="E21" s="785">
        <v>13585</v>
      </c>
      <c r="F21" s="785">
        <v>17809</v>
      </c>
      <c r="G21" s="785">
        <v>11654</v>
      </c>
      <c r="H21" s="785">
        <v>849</v>
      </c>
      <c r="I21" s="785">
        <v>975</v>
      </c>
      <c r="J21" s="785">
        <v>5232</v>
      </c>
      <c r="K21" s="785">
        <v>312</v>
      </c>
      <c r="L21" s="785">
        <v>228</v>
      </c>
      <c r="M21" s="785">
        <v>578</v>
      </c>
      <c r="N21" s="353" t="s">
        <v>85</v>
      </c>
      <c r="O21" s="1412" t="s">
        <v>85</v>
      </c>
      <c r="P21" s="785">
        <v>18</v>
      </c>
      <c r="Q21" s="785">
        <v>54</v>
      </c>
      <c r="R21" s="785">
        <v>61</v>
      </c>
      <c r="S21" s="785">
        <v>175</v>
      </c>
      <c r="T21" s="785">
        <v>40</v>
      </c>
      <c r="U21" s="785">
        <v>74</v>
      </c>
      <c r="V21" s="785">
        <v>59</v>
      </c>
      <c r="W21" s="785">
        <v>134</v>
      </c>
      <c r="X21" s="785">
        <v>842</v>
      </c>
      <c r="Y21" s="785">
        <v>1039</v>
      </c>
      <c r="Z21" s="785">
        <v>12</v>
      </c>
      <c r="AA21" s="785">
        <v>18</v>
      </c>
      <c r="AB21" s="353" t="s">
        <v>85</v>
      </c>
    </row>
    <row r="22" spans="1:30" s="9" customFormat="1" ht="17.45" customHeight="1">
      <c r="A22" s="1411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411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412" t="s">
        <v>198</v>
      </c>
      <c r="B23" s="785">
        <v>2133</v>
      </c>
      <c r="C23" s="785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198</v>
      </c>
      <c r="O23" s="354" t="s">
        <v>198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198</v>
      </c>
    </row>
    <row r="24" spans="1:30" s="8" customFormat="1" ht="17.45" customHeight="1">
      <c r="A24" s="1411" t="s">
        <v>789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789</v>
      </c>
      <c r="O24" s="278" t="s">
        <v>789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789</v>
      </c>
    </row>
    <row r="25" spans="1:30" s="8" customFormat="1" ht="17.45" customHeight="1">
      <c r="A25" s="1412" t="s">
        <v>905</v>
      </c>
      <c r="B25" s="785">
        <v>2158</v>
      </c>
      <c r="C25" s="785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905</v>
      </c>
      <c r="O25" s="354" t="s">
        <v>905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905</v>
      </c>
    </row>
    <row r="26" spans="1:30" s="8" customFormat="1" ht="17.45" customHeight="1">
      <c r="A26" s="1411" t="s">
        <v>1104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1104</v>
      </c>
      <c r="O26" s="278" t="s">
        <v>1104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1104</v>
      </c>
    </row>
    <row r="27" spans="1:30" s="8" customFormat="1" ht="17.45" customHeight="1">
      <c r="A27" s="1412" t="s">
        <v>1163</v>
      </c>
      <c r="B27" s="785">
        <v>2328</v>
      </c>
      <c r="C27" s="785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1163</v>
      </c>
      <c r="O27" s="1412" t="s">
        <v>1163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1163</v>
      </c>
    </row>
    <row r="28" spans="1:30" s="8" customFormat="1" ht="17.45" customHeight="1">
      <c r="A28" s="1411" t="s">
        <v>1295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1295</v>
      </c>
      <c r="O28" s="1411" t="s">
        <v>1295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1295</v>
      </c>
    </row>
    <row r="29" spans="1:30" s="8" customFormat="1" ht="17.45" customHeight="1">
      <c r="A29" s="1412" t="s">
        <v>1328</v>
      </c>
      <c r="B29" s="785">
        <v>2134</v>
      </c>
      <c r="C29" s="785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5">
        <v>3862</v>
      </c>
      <c r="K29" s="785">
        <v>227</v>
      </c>
      <c r="L29" s="785">
        <v>363</v>
      </c>
      <c r="M29" s="785">
        <v>831</v>
      </c>
      <c r="N29" s="353" t="s">
        <v>1328</v>
      </c>
      <c r="O29" s="1412" t="s">
        <v>1328</v>
      </c>
      <c r="P29" s="785">
        <v>35</v>
      </c>
      <c r="Q29" s="785">
        <v>102</v>
      </c>
      <c r="R29" s="785">
        <v>169</v>
      </c>
      <c r="S29" s="785">
        <v>382</v>
      </c>
      <c r="T29" s="785">
        <v>91</v>
      </c>
      <c r="U29" s="785">
        <v>113</v>
      </c>
      <c r="V29" s="785">
        <v>82</v>
      </c>
      <c r="W29" s="785">
        <v>133</v>
      </c>
      <c r="X29" s="322">
        <v>1484</v>
      </c>
      <c r="Y29" s="322">
        <v>1823</v>
      </c>
      <c r="Z29" s="785">
        <v>31</v>
      </c>
      <c r="AA29" s="785">
        <v>32</v>
      </c>
      <c r="AB29" s="353" t="s">
        <v>1328</v>
      </c>
    </row>
    <row r="30" spans="1:30" s="177" customFormat="1" ht="17.45" customHeight="1">
      <c r="A30" s="1411" t="s">
        <v>1467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1467</v>
      </c>
      <c r="O30" s="1411" t="s">
        <v>1467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1467</v>
      </c>
    </row>
    <row r="31" spans="1:30" s="177" customFormat="1" ht="17.45" customHeight="1">
      <c r="A31" s="1412" t="s">
        <v>1596</v>
      </c>
      <c r="B31" s="785">
        <v>2775</v>
      </c>
      <c r="C31" s="785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5">
        <v>3142</v>
      </c>
      <c r="K31" s="785">
        <v>200</v>
      </c>
      <c r="L31" s="785">
        <v>312</v>
      </c>
      <c r="M31" s="785">
        <v>667</v>
      </c>
      <c r="N31" s="353" t="s">
        <v>1596</v>
      </c>
      <c r="O31" s="1412" t="s">
        <v>1596</v>
      </c>
      <c r="P31" s="785">
        <v>34</v>
      </c>
      <c r="Q31" s="785">
        <v>102</v>
      </c>
      <c r="R31" s="785">
        <v>175</v>
      </c>
      <c r="S31" s="785">
        <v>352</v>
      </c>
      <c r="T31" s="785">
        <v>129</v>
      </c>
      <c r="U31" s="785">
        <v>147</v>
      </c>
      <c r="V31" s="785">
        <v>91</v>
      </c>
      <c r="W31" s="785">
        <v>133</v>
      </c>
      <c r="X31" s="322">
        <v>1544</v>
      </c>
      <c r="Y31" s="322">
        <v>1852</v>
      </c>
      <c r="Z31" s="785">
        <v>100</v>
      </c>
      <c r="AA31" s="785">
        <v>31</v>
      </c>
      <c r="AB31" s="353" t="s">
        <v>1596</v>
      </c>
    </row>
    <row r="32" spans="1:30" s="177" customFormat="1" ht="17.45" customHeight="1">
      <c r="A32" s="1411" t="s">
        <v>1691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1691</v>
      </c>
      <c r="O32" s="1411" t="s">
        <v>1691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1691</v>
      </c>
      <c r="AD32" s="902"/>
    </row>
    <row r="33" spans="1:30" s="177" customFormat="1" ht="17.45" customHeight="1">
      <c r="A33" s="1423" t="s">
        <v>1760</v>
      </c>
      <c r="B33" s="785">
        <v>3285</v>
      </c>
      <c r="C33" s="785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5">
        <v>3333</v>
      </c>
      <c r="K33" s="785">
        <v>192</v>
      </c>
      <c r="L33" s="785">
        <v>397</v>
      </c>
      <c r="M33" s="785">
        <v>814</v>
      </c>
      <c r="N33" s="353" t="s">
        <v>1760</v>
      </c>
      <c r="O33" s="1423" t="s">
        <v>1760</v>
      </c>
      <c r="P33" s="785">
        <v>41</v>
      </c>
      <c r="Q33" s="785">
        <v>109</v>
      </c>
      <c r="R33" s="785">
        <v>186</v>
      </c>
      <c r="S33" s="785">
        <v>361</v>
      </c>
      <c r="T33" s="785">
        <v>89</v>
      </c>
      <c r="U33" s="785">
        <v>100</v>
      </c>
      <c r="V33" s="785">
        <v>90</v>
      </c>
      <c r="W33" s="785">
        <v>136</v>
      </c>
      <c r="X33" s="322">
        <v>1391</v>
      </c>
      <c r="Y33" s="322">
        <v>1686</v>
      </c>
      <c r="Z33" s="785">
        <v>72</v>
      </c>
      <c r="AA33" s="785">
        <v>31</v>
      </c>
      <c r="AB33" s="353" t="s">
        <v>1760</v>
      </c>
      <c r="AC33" s="902"/>
    </row>
    <row r="34" spans="1:30" s="177" customFormat="1" ht="17.45" customHeight="1" thickBot="1">
      <c r="A34" s="511" t="s">
        <v>2430</v>
      </c>
      <c r="B34" s="1168">
        <v>3001</v>
      </c>
      <c r="C34" s="1168">
        <v>2864</v>
      </c>
      <c r="D34" s="1394">
        <v>14958</v>
      </c>
      <c r="E34" s="1394">
        <v>14132</v>
      </c>
      <c r="F34" s="1394" t="s">
        <v>305</v>
      </c>
      <c r="G34" s="1394" t="s">
        <v>305</v>
      </c>
      <c r="H34" s="1394">
        <v>1086</v>
      </c>
      <c r="I34" s="1394">
        <v>778</v>
      </c>
      <c r="J34" s="1168">
        <v>3087</v>
      </c>
      <c r="K34" s="1168">
        <v>179</v>
      </c>
      <c r="L34" s="1168">
        <v>410</v>
      </c>
      <c r="M34" s="1168">
        <v>817</v>
      </c>
      <c r="N34" s="1418" t="s">
        <v>2430</v>
      </c>
      <c r="O34" s="511" t="s">
        <v>2430</v>
      </c>
      <c r="P34" s="1168">
        <v>42</v>
      </c>
      <c r="Q34" s="1168">
        <v>114</v>
      </c>
      <c r="R34" s="1168">
        <v>191</v>
      </c>
      <c r="S34" s="1168">
        <v>357</v>
      </c>
      <c r="T34" s="1168">
        <v>92</v>
      </c>
      <c r="U34" s="1168">
        <v>100</v>
      </c>
      <c r="V34" s="1168">
        <v>98</v>
      </c>
      <c r="W34" s="1168">
        <v>140</v>
      </c>
      <c r="X34" s="1394">
        <v>1518</v>
      </c>
      <c r="Y34" s="1394">
        <v>1783</v>
      </c>
      <c r="Z34" s="1168" t="s">
        <v>305</v>
      </c>
      <c r="AA34" s="1168">
        <v>30</v>
      </c>
      <c r="AB34" s="1418" t="s">
        <v>2430</v>
      </c>
      <c r="AC34" s="902"/>
    </row>
    <row r="35" spans="1:30" ht="12.75" customHeight="1">
      <c r="A35" s="2102" t="s">
        <v>1367</v>
      </c>
      <c r="B35" s="2102"/>
      <c r="C35" s="2102"/>
      <c r="D35" s="2102"/>
      <c r="E35" s="2102"/>
      <c r="F35" s="2103"/>
      <c r="G35" s="2103"/>
      <c r="H35" s="2103" t="s">
        <v>2094</v>
      </c>
      <c r="I35" s="2103"/>
      <c r="J35" s="2103"/>
      <c r="K35" s="2103"/>
      <c r="L35" s="2103"/>
      <c r="M35" s="2103"/>
      <c r="O35" s="2101" t="s">
        <v>1368</v>
      </c>
      <c r="P35" s="2101"/>
      <c r="Q35" s="2101"/>
      <c r="R35" s="2101"/>
      <c r="S35" s="2101"/>
      <c r="T35" s="2101"/>
      <c r="U35" s="2101"/>
      <c r="V35" s="2101" t="s">
        <v>2094</v>
      </c>
      <c r="W35" s="2101"/>
      <c r="X35" s="2101"/>
      <c r="Y35" s="2101"/>
      <c r="Z35" s="2101"/>
      <c r="AA35" s="2101"/>
      <c r="AD35" s="1048"/>
    </row>
    <row r="36" spans="1:30">
      <c r="A36" s="266"/>
      <c r="B36" s="7" t="s">
        <v>1767</v>
      </c>
      <c r="C36" s="7"/>
      <c r="E36" s="1429"/>
      <c r="F36" s="1048"/>
      <c r="H36" s="1048"/>
      <c r="K36" s="1048"/>
      <c r="M36" s="1048"/>
      <c r="R36" s="1048"/>
      <c r="S36" s="1048"/>
      <c r="T36" s="1048"/>
      <c r="U36" s="1276"/>
      <c r="W36" s="1048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8"/>
      <c r="G45" s="1048"/>
      <c r="J45" s="1048"/>
      <c r="K45" s="1048"/>
      <c r="L45" s="1048"/>
      <c r="M45" s="1048"/>
      <c r="P45" s="1048"/>
      <c r="Q45" s="1048"/>
      <c r="R45" s="1048"/>
      <c r="S45" s="1048"/>
      <c r="T45" s="1048"/>
      <c r="U45" s="1048"/>
      <c r="V45" s="1048"/>
      <c r="W45" s="1048"/>
      <c r="AA45" s="1048"/>
      <c r="AB45" s="1048"/>
    </row>
    <row r="46" spans="1:30">
      <c r="H46" s="1048"/>
      <c r="I46" s="1048"/>
      <c r="J46" s="1048"/>
      <c r="K46" s="1048"/>
      <c r="L46" s="1048"/>
      <c r="P46" s="1048"/>
      <c r="Q46" s="1048"/>
      <c r="T46" s="1048"/>
      <c r="W46" s="1048"/>
      <c r="Y46" s="1048"/>
    </row>
    <row r="47" spans="1:30">
      <c r="E47" s="1048"/>
    </row>
    <row r="49" spans="28:28">
      <c r="AB49" s="104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45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9"/>
  <sheetViews>
    <sheetView zoomScale="172" zoomScaleNormal="172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F57" sqref="F57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27" t="s">
        <v>122</v>
      </c>
      <c r="D1" s="1927"/>
      <c r="E1" s="1927"/>
      <c r="F1" s="1927"/>
      <c r="G1" s="1927"/>
      <c r="H1" s="513" t="s">
        <v>114</v>
      </c>
      <c r="I1" s="513"/>
      <c r="J1" s="513"/>
      <c r="K1" s="514"/>
      <c r="L1" s="514"/>
      <c r="M1" s="514"/>
      <c r="N1" s="1927" t="s">
        <v>1196</v>
      </c>
      <c r="O1" s="1927"/>
    </row>
    <row r="2" spans="1:15" s="182" customFormat="1" ht="12.75" customHeight="1">
      <c r="G2" s="1729" t="s">
        <v>151</v>
      </c>
      <c r="H2" s="2112" t="s">
        <v>150</v>
      </c>
      <c r="I2" s="2112"/>
      <c r="J2" s="2112"/>
    </row>
    <row r="3" spans="1:15" s="184" customFormat="1" ht="26.25" customHeight="1">
      <c r="A3" s="2116" t="s">
        <v>524</v>
      </c>
      <c r="B3" s="1724" t="s">
        <v>618</v>
      </c>
      <c r="C3" s="1724" t="s">
        <v>619</v>
      </c>
      <c r="D3" s="1726" t="s">
        <v>539</v>
      </c>
      <c r="E3" s="1726" t="s">
        <v>620</v>
      </c>
      <c r="F3" s="1726" t="s">
        <v>540</v>
      </c>
      <c r="G3" s="1724" t="s">
        <v>256</v>
      </c>
      <c r="H3" s="1725" t="s">
        <v>255</v>
      </c>
      <c r="I3" s="1726" t="s">
        <v>631</v>
      </c>
      <c r="J3" s="1726" t="s">
        <v>621</v>
      </c>
      <c r="K3" s="1726" t="s">
        <v>542</v>
      </c>
      <c r="L3" s="1724" t="s">
        <v>2656</v>
      </c>
      <c r="M3" s="1724" t="s">
        <v>1399</v>
      </c>
      <c r="N3" s="1726" t="s">
        <v>543</v>
      </c>
      <c r="O3" s="2113" t="s">
        <v>524</v>
      </c>
    </row>
    <row r="4" spans="1:15" s="184" customFormat="1" ht="25.5" customHeight="1">
      <c r="A4" s="2116"/>
      <c r="B4" s="1724" t="s">
        <v>1009</v>
      </c>
      <c r="C4" s="1724" t="s">
        <v>1008</v>
      </c>
      <c r="D4" s="1724" t="s">
        <v>1010</v>
      </c>
      <c r="E4" s="1724" t="s">
        <v>1010</v>
      </c>
      <c r="F4" s="1724" t="s">
        <v>1011</v>
      </c>
      <c r="G4" s="1724" t="s">
        <v>1012</v>
      </c>
      <c r="H4" s="1725" t="s">
        <v>1015</v>
      </c>
      <c r="I4" s="1724" t="s">
        <v>1012</v>
      </c>
      <c r="J4" s="1724" t="s">
        <v>1012</v>
      </c>
      <c r="K4" s="1724" t="s">
        <v>1014</v>
      </c>
      <c r="L4" s="515" t="s">
        <v>244</v>
      </c>
      <c r="M4" s="1724" t="s">
        <v>1012</v>
      </c>
      <c r="N4" s="1724" t="s">
        <v>1013</v>
      </c>
      <c r="O4" s="2052"/>
    </row>
    <row r="5" spans="1:15" s="177" customFormat="1" ht="11.85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305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305</v>
      </c>
      <c r="L5" s="280">
        <v>2021</v>
      </c>
      <c r="M5" s="280" t="s">
        <v>305</v>
      </c>
      <c r="N5" s="280">
        <v>13330</v>
      </c>
      <c r="O5" s="228" t="s">
        <v>81</v>
      </c>
    </row>
    <row r="6" spans="1:15" s="175" customFormat="1" ht="11.85" customHeight="1">
      <c r="A6" s="332" t="s">
        <v>198</v>
      </c>
      <c r="B6" s="329">
        <v>1030</v>
      </c>
      <c r="C6" s="329">
        <v>56181</v>
      </c>
      <c r="D6" s="329">
        <v>20241</v>
      </c>
      <c r="E6" s="326" t="s">
        <v>305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305</v>
      </c>
      <c r="L6" s="324">
        <v>1898</v>
      </c>
      <c r="M6" s="322" t="s">
        <v>305</v>
      </c>
      <c r="N6" s="324">
        <v>14143</v>
      </c>
      <c r="O6" s="333" t="s">
        <v>198</v>
      </c>
    </row>
    <row r="7" spans="1:15" s="175" customFormat="1" ht="11.85" customHeight="1">
      <c r="A7" s="175" t="s">
        <v>789</v>
      </c>
      <c r="B7" s="151">
        <v>955.09444444444443</v>
      </c>
      <c r="C7" s="151">
        <v>56546</v>
      </c>
      <c r="D7" s="151">
        <v>20740</v>
      </c>
      <c r="E7" s="29" t="s">
        <v>305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305</v>
      </c>
      <c r="L7" s="422">
        <v>1442</v>
      </c>
      <c r="M7" s="280" t="s">
        <v>305</v>
      </c>
      <c r="N7" s="422">
        <v>18148</v>
      </c>
      <c r="O7" s="228" t="s">
        <v>789</v>
      </c>
    </row>
    <row r="8" spans="1:15" s="175" customFormat="1" ht="11.85" customHeight="1">
      <c r="A8" s="332" t="s">
        <v>905</v>
      </c>
      <c r="B8" s="329">
        <v>970.12777777777774</v>
      </c>
      <c r="C8" s="329">
        <v>56949</v>
      </c>
      <c r="D8" s="329">
        <v>17774</v>
      </c>
      <c r="E8" s="326" t="s">
        <v>305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305</v>
      </c>
      <c r="L8" s="324">
        <v>2364</v>
      </c>
      <c r="M8" s="322" t="s">
        <v>305</v>
      </c>
      <c r="N8" s="324">
        <v>20989</v>
      </c>
      <c r="O8" s="333" t="s">
        <v>905</v>
      </c>
    </row>
    <row r="9" spans="1:15" s="175" customFormat="1" ht="11.85" customHeight="1">
      <c r="A9" s="175" t="s">
        <v>1104</v>
      </c>
      <c r="B9" s="151">
        <v>974.33888888888885</v>
      </c>
      <c r="C9" s="151">
        <v>57386</v>
      </c>
      <c r="D9" s="151">
        <v>13098</v>
      </c>
      <c r="E9" s="29" t="s">
        <v>305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305</v>
      </c>
      <c r="L9" s="422">
        <v>2009</v>
      </c>
      <c r="M9" s="422" t="s">
        <v>305</v>
      </c>
      <c r="N9" s="422">
        <v>20813</v>
      </c>
      <c r="O9" s="228" t="s">
        <v>1104</v>
      </c>
    </row>
    <row r="10" spans="1:15" s="175" customFormat="1" ht="11.85" customHeight="1">
      <c r="A10" s="332" t="s">
        <v>1163</v>
      </c>
      <c r="B10" s="324">
        <v>780.2166666666667</v>
      </c>
      <c r="C10" s="324">
        <v>44692</v>
      </c>
      <c r="D10" s="324">
        <v>12660</v>
      </c>
      <c r="E10" s="324" t="s">
        <v>305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305</v>
      </c>
      <c r="L10" s="324">
        <v>1529</v>
      </c>
      <c r="M10" s="324" t="s">
        <v>305</v>
      </c>
      <c r="N10" s="324">
        <v>18935</v>
      </c>
      <c r="O10" s="333" t="s">
        <v>1163</v>
      </c>
    </row>
    <row r="11" spans="1:15" s="175" customFormat="1" ht="11.85" customHeight="1">
      <c r="A11" s="175" t="s">
        <v>1295</v>
      </c>
      <c r="B11" s="422">
        <v>892</v>
      </c>
      <c r="C11" s="422">
        <v>47444</v>
      </c>
      <c r="D11" s="422">
        <v>10577</v>
      </c>
      <c r="E11" s="280" t="s">
        <v>305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305</v>
      </c>
      <c r="L11" s="422">
        <v>1363</v>
      </c>
      <c r="M11" s="280" t="s">
        <v>305</v>
      </c>
      <c r="N11" s="422">
        <v>19506</v>
      </c>
      <c r="O11" s="228" t="s">
        <v>1295</v>
      </c>
    </row>
    <row r="12" spans="1:15" s="175" customFormat="1" ht="11.85" customHeight="1">
      <c r="A12" s="332" t="s">
        <v>1328</v>
      </c>
      <c r="B12" s="324">
        <v>898</v>
      </c>
      <c r="C12" s="324">
        <v>47060</v>
      </c>
      <c r="D12" s="324">
        <v>6777</v>
      </c>
      <c r="E12" s="322" t="s">
        <v>305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305</v>
      </c>
      <c r="L12" s="324">
        <v>1333</v>
      </c>
      <c r="M12" s="322" t="s">
        <v>305</v>
      </c>
      <c r="N12" s="324">
        <v>22827</v>
      </c>
      <c r="O12" s="333" t="s">
        <v>1328</v>
      </c>
    </row>
    <row r="13" spans="1:15" s="175" customFormat="1" ht="11.85" customHeight="1">
      <c r="A13" s="175" t="s">
        <v>1467</v>
      </c>
      <c r="B13" s="422">
        <v>932</v>
      </c>
      <c r="C13" s="422">
        <v>42447</v>
      </c>
      <c r="D13" s="422">
        <v>3182</v>
      </c>
      <c r="E13" s="280" t="s">
        <v>305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305</v>
      </c>
      <c r="L13" s="422">
        <v>1629</v>
      </c>
      <c r="M13" s="280" t="s">
        <v>305</v>
      </c>
      <c r="N13" s="422">
        <v>25124</v>
      </c>
      <c r="O13" s="228" t="s">
        <v>1467</v>
      </c>
    </row>
    <row r="14" spans="1:15" s="175" customFormat="1" ht="11.85" customHeight="1">
      <c r="A14" s="332" t="s">
        <v>1596</v>
      </c>
      <c r="B14" s="324">
        <v>1004</v>
      </c>
      <c r="C14" s="324">
        <v>41744</v>
      </c>
      <c r="D14" s="324">
        <v>5635</v>
      </c>
      <c r="E14" s="322" t="s">
        <v>305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305</v>
      </c>
      <c r="L14" s="324">
        <v>1431</v>
      </c>
      <c r="M14" s="322" t="s">
        <v>305</v>
      </c>
      <c r="N14" s="324">
        <v>34653</v>
      </c>
      <c r="O14" s="333" t="s">
        <v>1596</v>
      </c>
    </row>
    <row r="15" spans="1:15" s="175" customFormat="1" ht="11.85" customHeight="1">
      <c r="A15" s="204" t="s">
        <v>1691</v>
      </c>
      <c r="B15" s="375">
        <v>1241</v>
      </c>
      <c r="C15" s="375">
        <v>35782</v>
      </c>
      <c r="D15" s="375">
        <v>7220</v>
      </c>
      <c r="E15" s="422" t="s">
        <v>305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305</v>
      </c>
      <c r="L15" s="375">
        <v>1021</v>
      </c>
      <c r="M15" s="280" t="s">
        <v>305</v>
      </c>
      <c r="N15" s="375">
        <v>44264</v>
      </c>
      <c r="O15" s="516" t="s">
        <v>1691</v>
      </c>
    </row>
    <row r="16" spans="1:15" s="175" customFormat="1" ht="11.85" customHeight="1">
      <c r="A16" s="334" t="s">
        <v>1760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305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626</v>
      </c>
      <c r="L16" s="590">
        <f>SUM(L17:L28)</f>
        <v>100</v>
      </c>
      <c r="M16" s="590" t="s">
        <v>626</v>
      </c>
      <c r="N16" s="533">
        <f>SUM(N17:N28)</f>
        <v>45323</v>
      </c>
      <c r="O16" s="335" t="s">
        <v>1760</v>
      </c>
    </row>
    <row r="17" spans="1:15" s="175" customFormat="1" ht="11.85" customHeight="1">
      <c r="A17" s="175" t="s">
        <v>603</v>
      </c>
      <c r="B17" s="280">
        <v>114</v>
      </c>
      <c r="C17" s="280">
        <v>3014</v>
      </c>
      <c r="D17" s="280">
        <v>758</v>
      </c>
      <c r="E17" s="280" t="s">
        <v>305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305</v>
      </c>
      <c r="L17" s="280">
        <v>100</v>
      </c>
      <c r="M17" s="280" t="s">
        <v>305</v>
      </c>
      <c r="N17" s="280">
        <v>4182</v>
      </c>
      <c r="O17" s="228" t="s">
        <v>603</v>
      </c>
    </row>
    <row r="18" spans="1:15" s="175" customFormat="1" ht="11.85" customHeight="1">
      <c r="A18" s="332" t="s">
        <v>604</v>
      </c>
      <c r="B18" s="322">
        <v>115</v>
      </c>
      <c r="C18" s="322">
        <v>3417</v>
      </c>
      <c r="D18" s="322">
        <v>482</v>
      </c>
      <c r="E18" s="322" t="s">
        <v>305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305</v>
      </c>
      <c r="L18" s="322">
        <v>0</v>
      </c>
      <c r="M18" s="322" t="s">
        <v>305</v>
      </c>
      <c r="N18" s="322">
        <v>4224</v>
      </c>
      <c r="O18" s="333" t="s">
        <v>604</v>
      </c>
    </row>
    <row r="19" spans="1:15" s="175" customFormat="1" ht="11.85" customHeight="1">
      <c r="A19" s="175" t="s">
        <v>598</v>
      </c>
      <c r="B19" s="280">
        <v>117</v>
      </c>
      <c r="C19" s="280">
        <v>4201</v>
      </c>
      <c r="D19" s="280">
        <v>600</v>
      </c>
      <c r="E19" s="280" t="s">
        <v>305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305</v>
      </c>
      <c r="L19" s="280">
        <v>0</v>
      </c>
      <c r="M19" s="280" t="s">
        <v>305</v>
      </c>
      <c r="N19" s="280">
        <v>4267</v>
      </c>
      <c r="O19" s="228" t="s">
        <v>598</v>
      </c>
    </row>
    <row r="20" spans="1:15" s="175" customFormat="1" ht="11.85" customHeight="1">
      <c r="A20" s="332" t="s">
        <v>605</v>
      </c>
      <c r="B20" s="322">
        <v>117</v>
      </c>
      <c r="C20" s="322">
        <v>4369</v>
      </c>
      <c r="D20" s="322">
        <v>511</v>
      </c>
      <c r="E20" s="322" t="s">
        <v>305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305</v>
      </c>
      <c r="L20" s="322">
        <v>0</v>
      </c>
      <c r="M20" s="322" t="s">
        <v>305</v>
      </c>
      <c r="N20" s="322">
        <v>3406</v>
      </c>
      <c r="O20" s="333" t="s">
        <v>605</v>
      </c>
    </row>
    <row r="21" spans="1:15" s="175" customFormat="1" ht="11.85" customHeight="1">
      <c r="A21" s="175" t="s">
        <v>606</v>
      </c>
      <c r="B21" s="280">
        <v>126</v>
      </c>
      <c r="C21" s="280">
        <v>2989</v>
      </c>
      <c r="D21" s="280">
        <v>508</v>
      </c>
      <c r="E21" s="280" t="s">
        <v>305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305</v>
      </c>
      <c r="L21" s="280">
        <v>0</v>
      </c>
      <c r="M21" s="280" t="s">
        <v>305</v>
      </c>
      <c r="N21" s="280">
        <v>3527</v>
      </c>
      <c r="O21" s="228" t="s">
        <v>606</v>
      </c>
    </row>
    <row r="22" spans="1:15" s="175" customFormat="1" ht="11.85" customHeight="1">
      <c r="A22" s="332" t="s">
        <v>599</v>
      </c>
      <c r="B22" s="322">
        <v>126</v>
      </c>
      <c r="C22" s="322">
        <v>3064</v>
      </c>
      <c r="D22" s="322">
        <v>544</v>
      </c>
      <c r="E22" s="322" t="s">
        <v>305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305</v>
      </c>
      <c r="L22" s="322">
        <v>0</v>
      </c>
      <c r="M22" s="322" t="s">
        <v>305</v>
      </c>
      <c r="N22" s="322">
        <v>3648</v>
      </c>
      <c r="O22" s="333" t="s">
        <v>599</v>
      </c>
    </row>
    <row r="23" spans="1:15" s="175" customFormat="1" ht="11.85" customHeight="1">
      <c r="A23" s="175" t="s">
        <v>607</v>
      </c>
      <c r="B23" s="280">
        <v>126</v>
      </c>
      <c r="C23" s="280">
        <v>3083</v>
      </c>
      <c r="D23" s="280">
        <v>609</v>
      </c>
      <c r="E23" s="280" t="s">
        <v>305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305</v>
      </c>
      <c r="L23" s="280">
        <v>0</v>
      </c>
      <c r="M23" s="280" t="s">
        <v>305</v>
      </c>
      <c r="N23" s="280">
        <v>3655</v>
      </c>
      <c r="O23" s="228" t="s">
        <v>607</v>
      </c>
    </row>
    <row r="24" spans="1:15" s="175" customFormat="1" ht="11.85" customHeight="1">
      <c r="A24" s="332" t="s">
        <v>608</v>
      </c>
      <c r="B24" s="322">
        <v>126</v>
      </c>
      <c r="C24" s="322">
        <v>3117</v>
      </c>
      <c r="D24" s="322">
        <v>400</v>
      </c>
      <c r="E24" s="322" t="s">
        <v>305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305</v>
      </c>
      <c r="L24" s="322">
        <v>0</v>
      </c>
      <c r="M24" s="322" t="s">
        <v>305</v>
      </c>
      <c r="N24" s="322">
        <v>3665</v>
      </c>
      <c r="O24" s="333" t="s">
        <v>608</v>
      </c>
    </row>
    <row r="25" spans="1:15" s="175" customFormat="1" ht="11.85" customHeight="1">
      <c r="A25" s="175" t="s">
        <v>600</v>
      </c>
      <c r="B25" s="280">
        <v>127</v>
      </c>
      <c r="C25" s="280">
        <v>3126</v>
      </c>
      <c r="D25" s="280">
        <v>721</v>
      </c>
      <c r="E25" s="280" t="s">
        <v>305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305</v>
      </c>
      <c r="L25" s="280">
        <v>0</v>
      </c>
      <c r="M25" s="280" t="s">
        <v>305</v>
      </c>
      <c r="N25" s="280">
        <v>3675</v>
      </c>
      <c r="O25" s="228" t="s">
        <v>600</v>
      </c>
    </row>
    <row r="26" spans="1:15" s="175" customFormat="1" ht="11.85" customHeight="1">
      <c r="A26" s="332" t="s">
        <v>609</v>
      </c>
      <c r="B26" s="322">
        <v>127</v>
      </c>
      <c r="C26" s="322">
        <v>3017</v>
      </c>
      <c r="D26" s="322">
        <v>323</v>
      </c>
      <c r="E26" s="322" t="s">
        <v>305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305</v>
      </c>
      <c r="L26" s="322">
        <v>0</v>
      </c>
      <c r="M26" s="322" t="s">
        <v>305</v>
      </c>
      <c r="N26" s="322">
        <v>3680</v>
      </c>
      <c r="O26" s="333" t="s">
        <v>609</v>
      </c>
    </row>
    <row r="27" spans="1:15" s="175" customFormat="1" ht="11.85" customHeight="1">
      <c r="A27" s="175" t="s">
        <v>610</v>
      </c>
      <c r="B27" s="280">
        <v>127</v>
      </c>
      <c r="C27" s="280">
        <v>3021</v>
      </c>
      <c r="D27" s="280">
        <v>274</v>
      </c>
      <c r="E27" s="280" t="s">
        <v>305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305</v>
      </c>
      <c r="L27" s="280">
        <v>0</v>
      </c>
      <c r="M27" s="280" t="s">
        <v>305</v>
      </c>
      <c r="N27" s="280">
        <v>3695</v>
      </c>
      <c r="O27" s="228" t="s">
        <v>610</v>
      </c>
    </row>
    <row r="28" spans="1:15" s="175" customFormat="1" ht="11.85" customHeight="1">
      <c r="A28" s="332" t="s">
        <v>601</v>
      </c>
      <c r="B28" s="322">
        <v>124</v>
      </c>
      <c r="C28" s="322">
        <v>3077</v>
      </c>
      <c r="D28" s="322">
        <v>297</v>
      </c>
      <c r="E28" s="322" t="s">
        <v>305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305</v>
      </c>
      <c r="L28" s="322">
        <v>0</v>
      </c>
      <c r="M28" s="322" t="s">
        <v>305</v>
      </c>
      <c r="N28" s="322">
        <v>3699</v>
      </c>
      <c r="O28" s="333" t="s">
        <v>601</v>
      </c>
    </row>
    <row r="29" spans="1:15" s="175" customFormat="1" ht="11.85" customHeight="1">
      <c r="A29" s="204" t="s">
        <v>2160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305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626</v>
      </c>
      <c r="L29" s="538">
        <f>SUM(L30:L41)</f>
        <v>1368</v>
      </c>
      <c r="M29" s="538" t="s">
        <v>626</v>
      </c>
      <c r="N29" s="375">
        <f>SUM(N30:N41)</f>
        <v>41441</v>
      </c>
      <c r="O29" s="516" t="s">
        <v>2160</v>
      </c>
    </row>
    <row r="30" spans="1:15" s="175" customFormat="1" ht="11.85" customHeight="1">
      <c r="A30" s="332" t="s">
        <v>603</v>
      </c>
      <c r="B30" s="322">
        <v>120</v>
      </c>
      <c r="C30" s="322">
        <v>3416</v>
      </c>
      <c r="D30" s="322">
        <v>181</v>
      </c>
      <c r="E30" s="322" t="s">
        <v>305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305</v>
      </c>
      <c r="L30" s="322">
        <v>6</v>
      </c>
      <c r="M30" s="322" t="s">
        <v>305</v>
      </c>
      <c r="N30" s="322">
        <v>3710</v>
      </c>
      <c r="O30" s="333" t="s">
        <v>603</v>
      </c>
    </row>
    <row r="31" spans="1:15" s="175" customFormat="1" ht="11.85" customHeight="1">
      <c r="A31" s="175" t="s">
        <v>604</v>
      </c>
      <c r="B31" s="280">
        <v>130</v>
      </c>
      <c r="C31" s="280">
        <v>3962</v>
      </c>
      <c r="D31" s="280">
        <v>51</v>
      </c>
      <c r="E31" s="280" t="s">
        <v>305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305</v>
      </c>
      <c r="L31" s="280">
        <v>86</v>
      </c>
      <c r="M31" s="280" t="s">
        <v>305</v>
      </c>
      <c r="N31" s="280">
        <v>3715</v>
      </c>
      <c r="O31" s="228" t="s">
        <v>604</v>
      </c>
    </row>
    <row r="32" spans="1:15" s="175" customFormat="1" ht="11.85" customHeight="1">
      <c r="A32" s="332" t="s">
        <v>598</v>
      </c>
      <c r="B32" s="322">
        <v>129</v>
      </c>
      <c r="C32" s="322">
        <v>3970</v>
      </c>
      <c r="D32" s="322">
        <v>276</v>
      </c>
      <c r="E32" s="322" t="s">
        <v>305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305</v>
      </c>
      <c r="L32" s="324">
        <v>140</v>
      </c>
      <c r="M32" s="322" t="s">
        <v>305</v>
      </c>
      <c r="N32" s="322">
        <v>3725</v>
      </c>
      <c r="O32" s="333" t="s">
        <v>598</v>
      </c>
    </row>
    <row r="33" spans="1:15" s="175" customFormat="1" ht="11.85" customHeight="1">
      <c r="A33" s="175" t="s">
        <v>605</v>
      </c>
      <c r="B33" s="280">
        <v>130</v>
      </c>
      <c r="C33" s="280">
        <v>4008</v>
      </c>
      <c r="D33" s="280">
        <v>154</v>
      </c>
      <c r="E33" s="280" t="s">
        <v>305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305</v>
      </c>
      <c r="L33" s="422">
        <v>128</v>
      </c>
      <c r="M33" s="280" t="s">
        <v>305</v>
      </c>
      <c r="N33" s="280">
        <v>3730</v>
      </c>
      <c r="O33" s="228" t="s">
        <v>605</v>
      </c>
    </row>
    <row r="34" spans="1:15" s="175" customFormat="1" ht="11.85" customHeight="1">
      <c r="A34" s="332" t="s">
        <v>606</v>
      </c>
      <c r="B34" s="322">
        <v>127</v>
      </c>
      <c r="C34" s="322">
        <v>4101</v>
      </c>
      <c r="D34" s="322">
        <v>183</v>
      </c>
      <c r="E34" s="322" t="s">
        <v>305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305</v>
      </c>
      <c r="L34" s="324">
        <v>137</v>
      </c>
      <c r="M34" s="322" t="s">
        <v>305</v>
      </c>
      <c r="N34" s="322">
        <v>3572</v>
      </c>
      <c r="O34" s="333" t="s">
        <v>606</v>
      </c>
    </row>
    <row r="35" spans="1:15" s="175" customFormat="1" ht="11.85" customHeight="1">
      <c r="A35" s="175" t="s">
        <v>599</v>
      </c>
      <c r="B35" s="280">
        <v>129</v>
      </c>
      <c r="C35" s="280">
        <v>4132</v>
      </c>
      <c r="D35" s="280">
        <v>293</v>
      </c>
      <c r="E35" s="280" t="s">
        <v>305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305</v>
      </c>
      <c r="L35" s="422">
        <v>129</v>
      </c>
      <c r="M35" s="280" t="s">
        <v>305</v>
      </c>
      <c r="N35" s="280">
        <v>3275</v>
      </c>
      <c r="O35" s="228" t="s">
        <v>599</v>
      </c>
    </row>
    <row r="36" spans="1:15" s="175" customFormat="1" ht="11.85" customHeight="1">
      <c r="A36" s="332" t="s">
        <v>607</v>
      </c>
      <c r="B36" s="322">
        <v>131</v>
      </c>
      <c r="C36" s="322">
        <v>4154</v>
      </c>
      <c r="D36" s="322">
        <v>336</v>
      </c>
      <c r="E36" s="322" t="s">
        <v>305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305</v>
      </c>
      <c r="L36" s="324">
        <v>131</v>
      </c>
      <c r="M36" s="322" t="s">
        <v>305</v>
      </c>
      <c r="N36" s="322">
        <v>3285</v>
      </c>
      <c r="O36" s="333" t="s">
        <v>607</v>
      </c>
    </row>
    <row r="37" spans="1:15" s="175" customFormat="1" ht="11.85" customHeight="1">
      <c r="A37" s="175" t="s">
        <v>608</v>
      </c>
      <c r="B37" s="280">
        <v>126</v>
      </c>
      <c r="C37" s="280">
        <v>4175</v>
      </c>
      <c r="D37" s="280">
        <v>315</v>
      </c>
      <c r="E37" s="280" t="s">
        <v>305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305</v>
      </c>
      <c r="L37" s="422">
        <v>120</v>
      </c>
      <c r="M37" s="280" t="s">
        <v>305</v>
      </c>
      <c r="N37" s="280">
        <v>3290</v>
      </c>
      <c r="O37" s="228" t="s">
        <v>608</v>
      </c>
    </row>
    <row r="38" spans="1:15" s="175" customFormat="1" ht="11.85" customHeight="1">
      <c r="A38" s="332" t="s">
        <v>600</v>
      </c>
      <c r="B38" s="322">
        <v>101</v>
      </c>
      <c r="C38" s="322">
        <v>4182</v>
      </c>
      <c r="D38" s="322">
        <v>135</v>
      </c>
      <c r="E38" s="322" t="s">
        <v>305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305</v>
      </c>
      <c r="L38" s="324">
        <v>144</v>
      </c>
      <c r="M38" s="322" t="s">
        <v>305</v>
      </c>
      <c r="N38" s="322">
        <v>3299</v>
      </c>
      <c r="O38" s="333" t="s">
        <v>600</v>
      </c>
    </row>
    <row r="39" spans="1:15" s="175" customFormat="1" ht="11.85" customHeight="1">
      <c r="A39" s="175" t="s">
        <v>609</v>
      </c>
      <c r="B39" s="280">
        <v>109</v>
      </c>
      <c r="C39" s="280">
        <v>4187</v>
      </c>
      <c r="D39" s="280">
        <v>106</v>
      </c>
      <c r="E39" s="280" t="s">
        <v>305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305</v>
      </c>
      <c r="L39" s="422">
        <v>130</v>
      </c>
      <c r="M39" s="280" t="s">
        <v>305</v>
      </c>
      <c r="N39" s="280">
        <v>3290</v>
      </c>
      <c r="O39" s="228" t="s">
        <v>609</v>
      </c>
    </row>
    <row r="40" spans="1:15" s="175" customFormat="1" ht="11.85" customHeight="1">
      <c r="A40" s="332" t="s">
        <v>610</v>
      </c>
      <c r="B40" s="322">
        <v>124</v>
      </c>
      <c r="C40" s="322">
        <v>5527</v>
      </c>
      <c r="D40" s="322">
        <v>122</v>
      </c>
      <c r="E40" s="322" t="s">
        <v>305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305</v>
      </c>
      <c r="L40" s="324">
        <v>94</v>
      </c>
      <c r="M40" s="322" t="s">
        <v>305</v>
      </c>
      <c r="N40" s="322">
        <v>3275</v>
      </c>
      <c r="O40" s="333" t="s">
        <v>610</v>
      </c>
    </row>
    <row r="41" spans="1:15" s="175" customFormat="1" ht="11.85" customHeight="1">
      <c r="A41" s="175" t="s">
        <v>601</v>
      </c>
      <c r="B41" s="280">
        <v>123</v>
      </c>
      <c r="C41" s="280">
        <v>6040</v>
      </c>
      <c r="D41" s="280">
        <v>125</v>
      </c>
      <c r="E41" s="280" t="s">
        <v>305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305</v>
      </c>
      <c r="L41" s="422">
        <v>123</v>
      </c>
      <c r="M41" s="280" t="s">
        <v>305</v>
      </c>
      <c r="N41" s="280">
        <v>3275</v>
      </c>
      <c r="O41" s="228" t="s">
        <v>601</v>
      </c>
    </row>
    <row r="42" spans="1:15" s="175" customFormat="1" ht="11.85" customHeight="1">
      <c r="A42" s="334" t="s">
        <v>2475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2475</v>
      </c>
    </row>
    <row r="43" spans="1:15" s="175" customFormat="1" ht="11.85" customHeight="1">
      <c r="A43" s="278" t="s">
        <v>603</v>
      </c>
      <c r="B43" s="280">
        <v>121</v>
      </c>
      <c r="C43" s="280">
        <v>4185</v>
      </c>
      <c r="D43" s="280">
        <v>113</v>
      </c>
      <c r="E43" s="280" t="s">
        <v>305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305</v>
      </c>
      <c r="L43" s="422">
        <v>116</v>
      </c>
      <c r="M43" s="280" t="s">
        <v>305</v>
      </c>
      <c r="N43" s="280">
        <v>3127</v>
      </c>
      <c r="O43" s="419" t="s">
        <v>603</v>
      </c>
    </row>
    <row r="44" spans="1:15" s="175" customFormat="1" ht="11.85" customHeight="1">
      <c r="A44" s="354" t="s">
        <v>604</v>
      </c>
      <c r="B44" s="322">
        <v>124</v>
      </c>
      <c r="C44" s="322">
        <v>4503</v>
      </c>
      <c r="D44" s="322">
        <v>112</v>
      </c>
      <c r="E44" s="322" t="s">
        <v>305</v>
      </c>
      <c r="F44" s="322">
        <v>11320</v>
      </c>
      <c r="G44" s="322">
        <v>74093</v>
      </c>
      <c r="H44" s="322">
        <v>47331</v>
      </c>
      <c r="I44" s="324">
        <v>0</v>
      </c>
      <c r="J44" s="324">
        <v>97401</v>
      </c>
      <c r="K44" s="322" t="s">
        <v>305</v>
      </c>
      <c r="L44" s="324">
        <v>141</v>
      </c>
      <c r="M44" s="322" t="s">
        <v>305</v>
      </c>
      <c r="N44" s="322">
        <v>3100</v>
      </c>
      <c r="O44" s="385" t="s">
        <v>604</v>
      </c>
    </row>
    <row r="45" spans="1:15" s="175" customFormat="1" ht="11.85" customHeight="1">
      <c r="A45" s="278" t="s">
        <v>598</v>
      </c>
      <c r="B45" s="280">
        <v>120</v>
      </c>
      <c r="C45" s="280">
        <v>3663</v>
      </c>
      <c r="D45" s="280">
        <v>0</v>
      </c>
      <c r="E45" s="280" t="s">
        <v>305</v>
      </c>
      <c r="F45" s="280">
        <v>11920</v>
      </c>
      <c r="G45" s="280">
        <v>58214</v>
      </c>
      <c r="H45" s="280" t="s">
        <v>305</v>
      </c>
      <c r="I45" s="422">
        <v>0</v>
      </c>
      <c r="J45" s="422">
        <v>76099</v>
      </c>
      <c r="K45" s="280" t="s">
        <v>305</v>
      </c>
      <c r="L45" s="422">
        <v>119</v>
      </c>
      <c r="M45" s="280" t="s">
        <v>305</v>
      </c>
      <c r="N45" s="280">
        <v>3250</v>
      </c>
      <c r="O45" s="419" t="s">
        <v>598</v>
      </c>
    </row>
    <row r="46" spans="1:15" s="175" customFormat="1" ht="11.85" customHeight="1">
      <c r="A46" s="354" t="s">
        <v>605</v>
      </c>
      <c r="B46" s="322" t="s">
        <v>305</v>
      </c>
      <c r="C46" s="322" t="s">
        <v>305</v>
      </c>
      <c r="D46" s="322">
        <v>38</v>
      </c>
      <c r="E46" s="322" t="s">
        <v>305</v>
      </c>
      <c r="F46" s="322" t="s">
        <v>305</v>
      </c>
      <c r="G46" s="322" t="s">
        <v>305</v>
      </c>
      <c r="H46" s="322" t="s">
        <v>305</v>
      </c>
      <c r="I46" s="324">
        <v>0</v>
      </c>
      <c r="J46" s="324">
        <v>101250</v>
      </c>
      <c r="K46" s="322" t="s">
        <v>305</v>
      </c>
      <c r="L46" s="324">
        <v>121</v>
      </c>
      <c r="M46" s="322" t="s">
        <v>305</v>
      </c>
      <c r="N46" s="322" t="s">
        <v>305</v>
      </c>
      <c r="O46" s="385" t="s">
        <v>605</v>
      </c>
    </row>
    <row r="47" spans="1:15" s="175" customFormat="1" ht="11.85" customHeight="1" thickBot="1">
      <c r="A47" s="551" t="s">
        <v>606</v>
      </c>
      <c r="B47" s="1394" t="s">
        <v>305</v>
      </c>
      <c r="C47" s="1394" t="s">
        <v>305</v>
      </c>
      <c r="D47" s="1394">
        <v>63</v>
      </c>
      <c r="E47" s="1394" t="s">
        <v>305</v>
      </c>
      <c r="F47" s="1394" t="s">
        <v>305</v>
      </c>
      <c r="G47" s="1394" t="s">
        <v>305</v>
      </c>
      <c r="H47" s="1394" t="s">
        <v>305</v>
      </c>
      <c r="I47" s="1497">
        <v>340</v>
      </c>
      <c r="J47" s="1497">
        <v>98044</v>
      </c>
      <c r="K47" s="1394" t="s">
        <v>305</v>
      </c>
      <c r="L47" s="1497">
        <v>125</v>
      </c>
      <c r="M47" s="1394" t="s">
        <v>305</v>
      </c>
      <c r="N47" s="1394" t="s">
        <v>305</v>
      </c>
      <c r="O47" s="1627" t="s">
        <v>606</v>
      </c>
    </row>
    <row r="48" spans="1:15" s="310" customFormat="1" ht="9.75" customHeight="1">
      <c r="A48" s="517" t="s">
        <v>761</v>
      </c>
      <c r="B48" s="2115" t="s">
        <v>1523</v>
      </c>
      <c r="C48" s="2115"/>
      <c r="D48" s="2115"/>
      <c r="E48" s="174"/>
      <c r="F48" s="936"/>
      <c r="G48" s="174"/>
      <c r="H48" s="518" t="s">
        <v>245</v>
      </c>
      <c r="I48" s="2117" t="s">
        <v>2657</v>
      </c>
      <c r="J48" s="2117"/>
      <c r="K48" s="2117"/>
      <c r="L48" s="2117"/>
      <c r="M48" s="2117"/>
      <c r="N48" s="2117"/>
    </row>
    <row r="49" spans="1:14" s="310" customFormat="1" ht="9" customHeight="1">
      <c r="A49" s="174" t="s">
        <v>675</v>
      </c>
      <c r="B49" s="2114" t="s">
        <v>1524</v>
      </c>
      <c r="C49" s="2114"/>
      <c r="D49" s="2114"/>
      <c r="E49" s="2114"/>
      <c r="F49" s="1243"/>
      <c r="G49" s="1243"/>
      <c r="H49" s="519"/>
      <c r="I49" s="2115" t="s">
        <v>1542</v>
      </c>
      <c r="J49" s="2115"/>
      <c r="K49" s="2115"/>
      <c r="L49" s="2115"/>
      <c r="M49" s="2115"/>
      <c r="N49" s="2115"/>
    </row>
    <row r="50" spans="1:14" s="310" customFormat="1" ht="9" customHeight="1">
      <c r="A50" s="519" t="s">
        <v>246</v>
      </c>
      <c r="B50" s="2114" t="s">
        <v>1525</v>
      </c>
      <c r="C50" s="2114"/>
      <c r="D50" s="2114"/>
      <c r="E50" s="2114"/>
      <c r="F50" s="1243"/>
      <c r="G50" s="1242"/>
      <c r="H50" s="519"/>
      <c r="I50" s="2114" t="s">
        <v>1543</v>
      </c>
      <c r="J50" s="2114"/>
      <c r="K50" s="2114"/>
      <c r="L50" s="2114"/>
      <c r="M50" s="2114"/>
      <c r="N50" s="2114"/>
    </row>
    <row r="51" spans="1:14" s="310" customFormat="1">
      <c r="A51" s="519" t="s">
        <v>247</v>
      </c>
      <c r="B51" s="2114" t="s">
        <v>1526</v>
      </c>
      <c r="C51" s="2114"/>
      <c r="D51" s="2114"/>
      <c r="E51" s="2114"/>
      <c r="F51" s="2114"/>
      <c r="G51" s="2114"/>
      <c r="H51" s="519"/>
      <c r="I51" s="2114" t="s">
        <v>1544</v>
      </c>
      <c r="J51" s="2114"/>
      <c r="K51" s="2114"/>
      <c r="L51" s="2114"/>
      <c r="M51" s="2114"/>
      <c r="N51" s="2114"/>
    </row>
    <row r="52" spans="1:14" s="310" customFormat="1">
      <c r="A52" s="519" t="s">
        <v>248</v>
      </c>
      <c r="B52" s="2114" t="s">
        <v>1527</v>
      </c>
      <c r="C52" s="2114"/>
      <c r="D52" s="519"/>
      <c r="E52" s="519"/>
      <c r="F52" s="519"/>
      <c r="G52" s="519"/>
      <c r="H52" s="519"/>
      <c r="I52" s="13" t="s">
        <v>240</v>
      </c>
      <c r="J52" s="13"/>
    </row>
    <row r="53" spans="1:14">
      <c r="E53" s="938"/>
      <c r="G53" s="938"/>
    </row>
    <row r="54" spans="1:14">
      <c r="B54" s="938"/>
      <c r="C54" s="938"/>
      <c r="D54" s="938"/>
      <c r="E54" s="938"/>
      <c r="F54" s="938"/>
      <c r="G54" s="938"/>
    </row>
    <row r="55" spans="1:14">
      <c r="B55" s="938"/>
      <c r="C55" s="938"/>
      <c r="D55" s="938"/>
      <c r="E55" s="938"/>
      <c r="F55" s="938"/>
    </row>
    <row r="56" spans="1:14">
      <c r="B56" s="938"/>
      <c r="C56" s="938"/>
      <c r="D56" s="938"/>
      <c r="E56" s="938"/>
      <c r="F56" s="938"/>
    </row>
    <row r="57" spans="1:14">
      <c r="B57" s="938"/>
      <c r="C57" s="938"/>
    </row>
    <row r="59" spans="1:14">
      <c r="B59" s="93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2:C52"/>
    <mergeCell ref="I49:N49"/>
    <mergeCell ref="A3:A4"/>
    <mergeCell ref="I48:N48"/>
    <mergeCell ref="B48:D48"/>
    <mergeCell ref="B49:E49"/>
    <mergeCell ref="B50:E50"/>
    <mergeCell ref="I50:N50"/>
    <mergeCell ref="C1:G1"/>
    <mergeCell ref="H2:J2"/>
    <mergeCell ref="N1:O1"/>
    <mergeCell ref="O3:O4"/>
    <mergeCell ref="B51:G51"/>
    <mergeCell ref="I51:N51"/>
  </mergeCells>
  <phoneticPr fontId="5" type="noConversion"/>
  <pageMargins left="0.62992125984251968" right="0.39370078740157483" top="0.51180993000874886" bottom="0.51180993000874886" header="0" footer="0.51333333333333331"/>
  <pageSetup paperSize="145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8"/>
  <sheetViews>
    <sheetView zoomScale="150" zoomScaleNormal="150" workbookViewId="0">
      <pane xSplit="1" ySplit="6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7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104" t="s">
        <v>1401</v>
      </c>
      <c r="E1" s="2104"/>
      <c r="F1" s="2104"/>
      <c r="G1" s="2104"/>
      <c r="H1" s="2104"/>
      <c r="I1" s="2104"/>
      <c r="J1" s="2104"/>
      <c r="K1" s="2124" t="s">
        <v>340</v>
      </c>
      <c r="L1" s="2124"/>
      <c r="M1" s="2124"/>
      <c r="N1" s="2124"/>
      <c r="O1" s="2124"/>
      <c r="P1" s="2104" t="s">
        <v>1197</v>
      </c>
      <c r="Q1" s="2104"/>
    </row>
    <row r="2" spans="1:17" s="21" customFormat="1" ht="11.25" customHeight="1">
      <c r="B2" s="11"/>
      <c r="F2" s="11"/>
      <c r="G2" s="2121"/>
      <c r="H2" s="2121"/>
      <c r="I2" s="2121"/>
      <c r="J2" s="2121"/>
      <c r="K2" s="676"/>
      <c r="L2" s="11"/>
      <c r="M2" s="11"/>
      <c r="N2" s="11"/>
      <c r="O2" s="11"/>
      <c r="P2" s="11"/>
      <c r="Q2" s="11"/>
    </row>
    <row r="3" spans="1:17" s="84" customFormat="1" ht="12" customHeight="1">
      <c r="A3" s="2086" t="s">
        <v>524</v>
      </c>
      <c r="B3" s="1098" t="s">
        <v>544</v>
      </c>
      <c r="C3" s="2092" t="s">
        <v>546</v>
      </c>
      <c r="D3" s="2094"/>
      <c r="E3" s="1098" t="s">
        <v>544</v>
      </c>
      <c r="F3" s="2092" t="s">
        <v>92</v>
      </c>
      <c r="G3" s="2094"/>
      <c r="H3" s="1098" t="s">
        <v>544</v>
      </c>
      <c r="I3" s="2092" t="s">
        <v>93</v>
      </c>
      <c r="J3" s="2094"/>
      <c r="K3" s="2092" t="s">
        <v>191</v>
      </c>
      <c r="L3" s="2093"/>
      <c r="M3" s="2093"/>
      <c r="N3" s="2093"/>
      <c r="O3" s="2093"/>
      <c r="P3" s="2093"/>
      <c r="Q3" s="2094"/>
    </row>
    <row r="4" spans="1:17" s="84" customFormat="1" ht="12.75" customHeight="1">
      <c r="A4" s="2087"/>
      <c r="B4" s="2130" t="s">
        <v>545</v>
      </c>
      <c r="C4" s="2120" t="s">
        <v>94</v>
      </c>
      <c r="D4" s="2118" t="s">
        <v>95</v>
      </c>
      <c r="E4" s="2120" t="s">
        <v>541</v>
      </c>
      <c r="F4" s="2118" t="s">
        <v>94</v>
      </c>
      <c r="G4" s="2120" t="s">
        <v>95</v>
      </c>
      <c r="H4" s="2118" t="s">
        <v>270</v>
      </c>
      <c r="I4" s="2120" t="s">
        <v>110</v>
      </c>
      <c r="J4" s="2120" t="s">
        <v>95</v>
      </c>
      <c r="K4" s="2086" t="s">
        <v>19</v>
      </c>
      <c r="L4" s="2125" t="s">
        <v>20</v>
      </c>
      <c r="M4" s="2122" t="s">
        <v>955</v>
      </c>
      <c r="N4" s="2122" t="s">
        <v>1402</v>
      </c>
      <c r="O4" s="2122" t="s">
        <v>271</v>
      </c>
      <c r="P4" s="2123" t="s">
        <v>272</v>
      </c>
      <c r="Q4" s="2122" t="s">
        <v>956</v>
      </c>
    </row>
    <row r="5" spans="1:17" s="84" customFormat="1" ht="24.75" customHeight="1">
      <c r="A5" s="2087"/>
      <c r="B5" s="2131"/>
      <c r="C5" s="2120"/>
      <c r="D5" s="2119"/>
      <c r="E5" s="2120"/>
      <c r="F5" s="2119"/>
      <c r="G5" s="2120"/>
      <c r="H5" s="2119"/>
      <c r="I5" s="2120"/>
      <c r="J5" s="2120"/>
      <c r="K5" s="2088"/>
      <c r="L5" s="2125"/>
      <c r="M5" s="2122"/>
      <c r="N5" s="2122"/>
      <c r="O5" s="2122"/>
      <c r="P5" s="2123"/>
      <c r="Q5" s="2122"/>
    </row>
    <row r="6" spans="1:17" ht="11.1" customHeight="1">
      <c r="A6" s="89" t="s">
        <v>612</v>
      </c>
      <c r="B6" s="1105">
        <v>100</v>
      </c>
      <c r="C6" s="2128" t="s">
        <v>144</v>
      </c>
      <c r="D6" s="2129"/>
      <c r="E6" s="1105">
        <v>56.18</v>
      </c>
      <c r="F6" s="2127" t="s">
        <v>144</v>
      </c>
      <c r="G6" s="2127"/>
      <c r="H6" s="1105">
        <v>43.82</v>
      </c>
      <c r="I6" s="2127" t="s">
        <v>144</v>
      </c>
      <c r="J6" s="2127"/>
      <c r="K6" s="1105">
        <v>6.84</v>
      </c>
      <c r="L6" s="1105">
        <v>14.88</v>
      </c>
      <c r="M6" s="1105">
        <v>4.7300000000000004</v>
      </c>
      <c r="N6" s="1105">
        <v>3.47</v>
      </c>
      <c r="O6" s="1105">
        <v>5.8</v>
      </c>
      <c r="P6" s="1105">
        <v>4.28</v>
      </c>
      <c r="Q6" s="1105">
        <v>3.82</v>
      </c>
    </row>
    <row r="7" spans="1:17" s="299" customFormat="1" ht="12.95" customHeight="1">
      <c r="A7" s="1118" t="s">
        <v>905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2.95" customHeight="1">
      <c r="A8" s="332" t="s">
        <v>1104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2.95" customHeight="1">
      <c r="A9" s="278" t="s">
        <v>1163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2.95" customHeight="1">
      <c r="A10" s="354" t="s">
        <v>1295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2.95" customHeight="1">
      <c r="A11" s="278" t="s">
        <v>1339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2.95" customHeight="1">
      <c r="A12" s="354" t="s">
        <v>1467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2.95" customHeight="1">
      <c r="A13" s="278" t="s">
        <v>1596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2.95" customHeight="1">
      <c r="A14" s="670" t="s">
        <v>1691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2.95" customHeight="1">
      <c r="A15" s="107" t="s">
        <v>1760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2.95" customHeight="1">
      <c r="A16" s="340" t="s">
        <v>603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2.95" customHeight="1">
      <c r="A17" s="152" t="s">
        <v>604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2.95" customHeight="1">
      <c r="A18" s="340" t="s">
        <v>598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2.95" customHeight="1">
      <c r="A19" s="152" t="s">
        <v>605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2.95" customHeight="1">
      <c r="A20" s="340" t="s">
        <v>606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2.95" customHeight="1">
      <c r="A21" s="152" t="s">
        <v>599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2.95" customHeight="1">
      <c r="A22" s="340" t="s">
        <v>607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2.95" customHeight="1">
      <c r="A23" s="152" t="s">
        <v>608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2.95" customHeight="1">
      <c r="A24" s="340" t="s">
        <v>600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2.95" customHeight="1">
      <c r="A25" s="152" t="s">
        <v>609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2.95" customHeight="1">
      <c r="A26" s="340" t="s">
        <v>610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2.95" customHeight="1">
      <c r="A27" s="152" t="s">
        <v>601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2.95" customHeight="1">
      <c r="A28" s="1173" t="s">
        <v>2160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2.95" customHeight="1">
      <c r="A29" s="152" t="s">
        <v>603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2.95" customHeight="1">
      <c r="A30" s="340" t="s">
        <v>604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2.95" customHeight="1">
      <c r="A31" s="152" t="s">
        <v>598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2.95" customHeight="1">
      <c r="A32" s="340" t="s">
        <v>605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2.95" customHeight="1">
      <c r="A33" s="152" t="s">
        <v>606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2.95" customHeight="1">
      <c r="A34" s="340" t="s">
        <v>599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2.95" customHeight="1">
      <c r="A35" s="152" t="s">
        <v>607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2.95" customHeight="1">
      <c r="A36" s="340" t="s">
        <v>608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2.95" customHeight="1">
      <c r="A37" s="152" t="s">
        <v>600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2.95" customHeight="1">
      <c r="A38" s="340" t="s">
        <v>609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2.95" customHeight="1">
      <c r="A39" s="152" t="s">
        <v>610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2.95" customHeight="1">
      <c r="A40" s="340" t="s">
        <v>601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2.95" customHeight="1">
      <c r="A41" s="107" t="s">
        <v>2475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2.95" customHeight="1">
      <c r="A42" s="340" t="s">
        <v>603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2.95" customHeight="1">
      <c r="A43" s="152" t="s">
        <v>604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2.95" customHeight="1">
      <c r="A44" s="340" t="s">
        <v>598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2.95" customHeight="1">
      <c r="A45" s="152" t="s">
        <v>605</v>
      </c>
      <c r="B45" s="281">
        <v>334.89</v>
      </c>
      <c r="C45" s="281">
        <v>8.91</v>
      </c>
      <c r="D45" s="281">
        <v>7.2341355183939138</v>
      </c>
      <c r="E45" s="281">
        <v>366.39</v>
      </c>
      <c r="F45" s="281">
        <v>8.5</v>
      </c>
      <c r="G45" s="281">
        <v>7.3213772939671573</v>
      </c>
      <c r="H45" s="281">
        <v>294.51</v>
      </c>
      <c r="I45" s="281">
        <v>9.58</v>
      </c>
      <c r="J45" s="281">
        <v>7.0999814813632378</v>
      </c>
      <c r="K45" s="281">
        <v>338.17</v>
      </c>
      <c r="L45" s="281">
        <v>248.79</v>
      </c>
      <c r="M45" s="281">
        <v>344.34</v>
      </c>
      <c r="N45" s="281">
        <v>294.93</v>
      </c>
      <c r="O45" s="281">
        <v>341.86</v>
      </c>
      <c r="P45" s="281">
        <v>215.27</v>
      </c>
      <c r="Q45" s="281">
        <v>349.33</v>
      </c>
    </row>
    <row r="46" spans="1:17" s="175" customFormat="1" ht="12.95" customHeight="1">
      <c r="A46" s="340" t="s">
        <v>606</v>
      </c>
      <c r="B46" s="323">
        <v>333.07</v>
      </c>
      <c r="C46" s="323">
        <v>8.85</v>
      </c>
      <c r="D46" s="323">
        <v>7.4767067592749425</v>
      </c>
      <c r="E46" s="323">
        <v>360.75</v>
      </c>
      <c r="F46" s="323">
        <v>8.14</v>
      </c>
      <c r="G46" s="323">
        <v>7.5485918183306744</v>
      </c>
      <c r="H46" s="323">
        <v>297.58</v>
      </c>
      <c r="I46" s="323">
        <v>9.98</v>
      </c>
      <c r="J46" s="323">
        <v>7.3659176279700755</v>
      </c>
      <c r="K46" s="323">
        <v>340.91</v>
      </c>
      <c r="L46" s="323">
        <v>249.07</v>
      </c>
      <c r="M46" s="323">
        <v>349.61</v>
      </c>
      <c r="N46" s="323">
        <v>302.73</v>
      </c>
      <c r="O46" s="323">
        <v>347.6</v>
      </c>
      <c r="P46" s="323">
        <v>215.98</v>
      </c>
      <c r="Q46" s="323">
        <v>355.45</v>
      </c>
    </row>
    <row r="47" spans="1:17" s="175" customFormat="1" ht="12.95" customHeight="1" thickBot="1">
      <c r="A47" s="1633" t="s">
        <v>599</v>
      </c>
      <c r="B47" s="786">
        <v>331.35</v>
      </c>
      <c r="C47" s="786">
        <v>8.7100000000000009</v>
      </c>
      <c r="D47" s="786">
        <v>7.6969543717689382</v>
      </c>
      <c r="E47" s="786">
        <v>356.86</v>
      </c>
      <c r="F47" s="786">
        <v>7.91</v>
      </c>
      <c r="G47" s="786">
        <v>7.7487910706107943</v>
      </c>
      <c r="H47" s="786">
        <v>298.64999999999998</v>
      </c>
      <c r="I47" s="786">
        <v>9.9600000000000009</v>
      </c>
      <c r="J47" s="786">
        <v>7.6176222636898272</v>
      </c>
      <c r="K47" s="786">
        <v>342.96</v>
      </c>
      <c r="L47" s="786">
        <v>249.09</v>
      </c>
      <c r="M47" s="786">
        <v>353.11</v>
      </c>
      <c r="N47" s="786">
        <v>303.2</v>
      </c>
      <c r="O47" s="786">
        <v>348.59</v>
      </c>
      <c r="P47" s="786">
        <v>216.7</v>
      </c>
      <c r="Q47" s="786">
        <v>356.87</v>
      </c>
    </row>
    <row r="48" spans="1:17" s="177" customFormat="1" ht="11.45" customHeight="1">
      <c r="A48" s="188" t="s">
        <v>1580</v>
      </c>
      <c r="B48" s="106"/>
      <c r="C48" s="106"/>
      <c r="D48" s="106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</row>
    <row r="49" spans="1:17">
      <c r="A49" s="2126" t="s">
        <v>274</v>
      </c>
      <c r="B49" s="2126"/>
      <c r="C49" s="2126"/>
      <c r="D49" s="2126"/>
      <c r="E49" s="106"/>
      <c r="F49" s="106"/>
      <c r="G49" s="30"/>
      <c r="H49" s="34" t="s">
        <v>411</v>
      </c>
      <c r="I49" s="34"/>
      <c r="J49" s="34"/>
      <c r="K49" s="30"/>
      <c r="L49" s="30"/>
      <c r="M49" s="30"/>
      <c r="N49" s="30"/>
      <c r="O49" s="30"/>
      <c r="P49" s="30"/>
      <c r="Q49" s="30"/>
    </row>
    <row r="50" spans="1:17">
      <c r="E50" s="1259"/>
      <c r="F50" s="34"/>
      <c r="G50" s="34"/>
      <c r="H50" s="34"/>
      <c r="I50" s="34"/>
    </row>
    <row r="51" spans="1:17">
      <c r="A51" s="34"/>
      <c r="B51" s="34"/>
      <c r="C51" s="34"/>
      <c r="D51" s="34"/>
      <c r="E51" s="1260"/>
      <c r="F51" s="1121"/>
      <c r="G51" s="665"/>
      <c r="H51" s="1121"/>
      <c r="I51" s="156"/>
      <c r="J51" s="665"/>
      <c r="K51" s="72"/>
      <c r="L51" s="72"/>
      <c r="M51" s="72"/>
      <c r="N51" s="72"/>
    </row>
    <row r="52" spans="1:17">
      <c r="B52" s="90"/>
      <c r="C52" s="90"/>
      <c r="D52" s="90"/>
      <c r="E52" s="90"/>
      <c r="F52" s="90"/>
      <c r="H52" s="90"/>
      <c r="I52" s="281"/>
    </row>
    <row r="53" spans="1:17">
      <c r="B53" s="90"/>
      <c r="C53" s="281"/>
      <c r="D53" s="90"/>
      <c r="E53" s="90"/>
      <c r="F53" s="281"/>
      <c r="G53" s="90"/>
      <c r="H53" s="90"/>
      <c r="I53" s="281"/>
      <c r="J53" s="90"/>
    </row>
    <row r="54" spans="1:17">
      <c r="A54" s="278"/>
      <c r="B54" s="281"/>
      <c r="C54" s="281"/>
      <c r="D54" s="281"/>
      <c r="E54" s="281"/>
      <c r="F54" s="281"/>
      <c r="G54" s="281"/>
      <c r="H54" s="281"/>
      <c r="I54" s="281"/>
      <c r="J54" s="281"/>
      <c r="L54" s="281"/>
      <c r="M54" s="281"/>
      <c r="N54" s="281"/>
      <c r="O54" s="281"/>
      <c r="P54" s="281"/>
      <c r="Q54" s="281"/>
    </row>
    <row r="55" spans="1:17">
      <c r="B55" s="281"/>
      <c r="C55" s="281"/>
      <c r="D55" s="281"/>
      <c r="E55" s="281"/>
      <c r="F55" s="281"/>
      <c r="G55" s="281"/>
      <c r="H55" s="281"/>
      <c r="I55" s="281"/>
      <c r="J55" s="281"/>
    </row>
    <row r="56" spans="1:17">
      <c r="H56" s="90"/>
    </row>
    <row r="57" spans="1:17">
      <c r="H57" s="90"/>
    </row>
    <row r="58" spans="1:17">
      <c r="C58" s="665"/>
      <c r="F58" s="90"/>
      <c r="I58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A49:D49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45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0"/>
  <sheetViews>
    <sheetView zoomScale="145" zoomScaleNormal="145" workbookViewId="0">
      <pane xSplit="1" ySplit="5" topLeftCell="E45" activePane="bottomRight" state="frozen"/>
      <selection activeCell="F85" sqref="F85"/>
      <selection pane="topRight" activeCell="F85" sqref="F85"/>
      <selection pane="bottomLeft" activeCell="F85" sqref="F85"/>
      <selection pane="bottomRight" sqref="A1:XFD1048576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45" t="s">
        <v>341</v>
      </c>
      <c r="B1" s="1845"/>
      <c r="C1" s="1845"/>
      <c r="D1" s="1845"/>
      <c r="E1" s="1845"/>
      <c r="F1" s="2132" t="s">
        <v>342</v>
      </c>
      <c r="G1" s="2132"/>
      <c r="H1" s="1071"/>
      <c r="I1" s="1723" t="s">
        <v>1198</v>
      </c>
    </row>
    <row r="2" spans="1:9" s="1072" customFormat="1" ht="24" customHeight="1">
      <c r="A2" s="2048" t="s">
        <v>524</v>
      </c>
      <c r="B2" s="2133" t="s">
        <v>1438</v>
      </c>
      <c r="C2" s="2133"/>
      <c r="D2" s="2133" t="s">
        <v>91</v>
      </c>
      <c r="E2" s="2133"/>
      <c r="F2" s="1788" t="s">
        <v>2460</v>
      </c>
      <c r="G2" s="1812" t="s">
        <v>1403</v>
      </c>
      <c r="H2" s="1812"/>
      <c r="I2" s="1832" t="s">
        <v>524</v>
      </c>
    </row>
    <row r="3" spans="1:9" s="1072" customFormat="1" ht="12.75" customHeight="1">
      <c r="A3" s="2049"/>
      <c r="B3" s="1788" t="s">
        <v>2458</v>
      </c>
      <c r="C3" s="1788" t="s">
        <v>2459</v>
      </c>
      <c r="D3" s="1788" t="s">
        <v>1548</v>
      </c>
      <c r="E3" s="1788" t="s">
        <v>1549</v>
      </c>
      <c r="F3" s="1788"/>
      <c r="G3" s="1788" t="s">
        <v>1550</v>
      </c>
      <c r="H3" s="1788" t="s">
        <v>1551</v>
      </c>
      <c r="I3" s="1832"/>
    </row>
    <row r="4" spans="1:9" s="1072" customFormat="1">
      <c r="A4" s="2049"/>
      <c r="B4" s="1788"/>
      <c r="C4" s="1788"/>
      <c r="D4" s="1788"/>
      <c r="E4" s="1788"/>
      <c r="F4" s="1788"/>
      <c r="G4" s="1788"/>
      <c r="H4" s="1788"/>
      <c r="I4" s="1832"/>
    </row>
    <row r="5" spans="1:9" s="1072" customFormat="1" ht="12.75" customHeight="1">
      <c r="A5" s="2050"/>
      <c r="B5" s="1788"/>
      <c r="C5" s="1788"/>
      <c r="D5" s="1788"/>
      <c r="E5" s="1788"/>
      <c r="F5" s="1788"/>
      <c r="G5" s="1788"/>
      <c r="H5" s="1788"/>
      <c r="I5" s="1832"/>
    </row>
    <row r="6" spans="1:9" s="8" customFormat="1" ht="10.5" customHeight="1">
      <c r="A6" s="1734">
        <v>2009</v>
      </c>
      <c r="B6" s="990">
        <v>3756.3333333333335</v>
      </c>
      <c r="C6" s="990">
        <v>7758.333333333333</v>
      </c>
      <c r="D6" s="819">
        <v>35.204166666666673</v>
      </c>
      <c r="E6" s="990">
        <v>23980.833333333332</v>
      </c>
      <c r="F6" s="819">
        <v>128.69797063195713</v>
      </c>
      <c r="G6" s="990">
        <v>586.66666666666663</v>
      </c>
      <c r="H6" s="990">
        <v>90.25</v>
      </c>
      <c r="I6" s="997">
        <v>2009</v>
      </c>
    </row>
    <row r="7" spans="1:9" s="8" customFormat="1" ht="10.5" customHeight="1">
      <c r="A7" s="985">
        <v>2010</v>
      </c>
      <c r="B7" s="991">
        <v>6190.916666666667</v>
      </c>
      <c r="C7" s="991">
        <v>13941.416666666666</v>
      </c>
      <c r="D7" s="782">
        <v>35.166666666666664</v>
      </c>
      <c r="E7" s="991">
        <v>31114.166666666668</v>
      </c>
      <c r="F7" s="782">
        <v>142.05333333333334</v>
      </c>
      <c r="G7" s="991">
        <v>912.5</v>
      </c>
      <c r="H7" s="991">
        <v>101.58333333333333</v>
      </c>
      <c r="I7" s="998">
        <v>2010</v>
      </c>
    </row>
    <row r="8" spans="1:9" s="177" customFormat="1" ht="10.5" customHeight="1">
      <c r="A8" s="986">
        <v>2011</v>
      </c>
      <c r="B8" s="992">
        <v>5937.5</v>
      </c>
      <c r="C8" s="992">
        <v>13850</v>
      </c>
      <c r="D8" s="850">
        <v>37.541666666666664</v>
      </c>
      <c r="E8" s="992">
        <v>26950</v>
      </c>
      <c r="F8" s="850">
        <v>166.13499999999999</v>
      </c>
      <c r="G8" s="992">
        <v>1087.9166666666667</v>
      </c>
      <c r="H8" s="992">
        <v>156.33333333333334</v>
      </c>
      <c r="I8" s="999">
        <v>2011</v>
      </c>
    </row>
    <row r="9" spans="1:9" s="177" customFormat="1" ht="10.5" customHeight="1">
      <c r="A9" s="985">
        <v>2012</v>
      </c>
      <c r="B9" s="991">
        <v>5833.333333333333</v>
      </c>
      <c r="C9" s="991">
        <v>13600</v>
      </c>
      <c r="D9" s="782">
        <v>32.875</v>
      </c>
      <c r="E9" s="991">
        <v>54033.333333333336</v>
      </c>
      <c r="F9" s="782">
        <v>172.94416666666669</v>
      </c>
      <c r="G9" s="991">
        <v>1053.125</v>
      </c>
      <c r="H9" s="991">
        <v>112.77777777777777</v>
      </c>
      <c r="I9" s="998">
        <v>2012</v>
      </c>
    </row>
    <row r="10" spans="1:9" s="238" customFormat="1" ht="10.5" customHeight="1">
      <c r="A10" s="1734">
        <v>2013</v>
      </c>
      <c r="B10" s="992">
        <v>5375</v>
      </c>
      <c r="C10" s="992">
        <v>12500</v>
      </c>
      <c r="D10" s="850">
        <v>37.041666666666664</v>
      </c>
      <c r="E10" s="992">
        <v>51868.181818181816</v>
      </c>
      <c r="F10" s="850">
        <v>199.83166666666662</v>
      </c>
      <c r="G10" s="992">
        <v>680</v>
      </c>
      <c r="H10" s="992">
        <v>79.833333333333329</v>
      </c>
      <c r="I10" s="1000">
        <v>2013</v>
      </c>
    </row>
    <row r="11" spans="1:9" s="238" customFormat="1" ht="10.5" customHeight="1">
      <c r="A11" s="985">
        <v>2014</v>
      </c>
      <c r="B11" s="991">
        <v>5375</v>
      </c>
      <c r="C11" s="991">
        <v>12500</v>
      </c>
      <c r="D11" s="782">
        <v>40</v>
      </c>
      <c r="E11" s="991">
        <v>48600</v>
      </c>
      <c r="F11" s="782">
        <v>185.97166666666666</v>
      </c>
      <c r="G11" s="991">
        <v>1078.75</v>
      </c>
      <c r="H11" s="991">
        <v>109.33333333333333</v>
      </c>
      <c r="I11" s="1001">
        <v>2014</v>
      </c>
    </row>
    <row r="12" spans="1:9" s="238" customFormat="1" ht="10.5" customHeight="1">
      <c r="A12" s="987">
        <v>2015</v>
      </c>
      <c r="B12" s="992">
        <v>5770.833333333333</v>
      </c>
      <c r="C12" s="992">
        <v>13650</v>
      </c>
      <c r="D12" s="850">
        <v>37.666666666666664</v>
      </c>
      <c r="E12" s="992">
        <v>44166.666666666664</v>
      </c>
      <c r="F12" s="850">
        <v>166.07666666666668</v>
      </c>
      <c r="G12" s="992">
        <v>1287.5</v>
      </c>
      <c r="H12" s="992">
        <v>96.416666666666671</v>
      </c>
      <c r="I12" s="1002">
        <v>2015</v>
      </c>
    </row>
    <row r="13" spans="1:9" s="1012" customFormat="1" ht="10.5" customHeight="1">
      <c r="A13" s="985">
        <v>2016</v>
      </c>
      <c r="B13" s="935">
        <v>6375</v>
      </c>
      <c r="C13" s="935">
        <v>15100</v>
      </c>
      <c r="D13" s="782">
        <v>38.416666666666664</v>
      </c>
      <c r="E13" s="991">
        <v>44000</v>
      </c>
      <c r="F13" s="782">
        <v>161.27999999999997</v>
      </c>
      <c r="G13" s="991">
        <v>1009.1666666666666</v>
      </c>
      <c r="H13" s="991">
        <v>87</v>
      </c>
      <c r="I13" s="1001">
        <v>2016</v>
      </c>
    </row>
    <row r="14" spans="1:9" s="1012" customFormat="1" ht="10.5" customHeight="1">
      <c r="A14" s="987">
        <v>2017</v>
      </c>
      <c r="B14" s="918">
        <v>6375</v>
      </c>
      <c r="C14" s="918">
        <v>15100</v>
      </c>
      <c r="D14" s="850">
        <v>45.166666666666664</v>
      </c>
      <c r="E14" s="992">
        <v>43173.333333333336</v>
      </c>
      <c r="F14" s="850">
        <v>164.67</v>
      </c>
      <c r="G14" s="992">
        <v>778.75</v>
      </c>
      <c r="H14" s="992">
        <v>67.666666666666671</v>
      </c>
      <c r="I14" s="1172">
        <v>2017</v>
      </c>
    </row>
    <row r="15" spans="1:9" s="1012" customFormat="1" ht="10.5" customHeight="1">
      <c r="A15" s="985">
        <v>2018</v>
      </c>
      <c r="B15" s="935">
        <v>6375</v>
      </c>
      <c r="C15" s="935">
        <v>15100</v>
      </c>
      <c r="D15" s="782">
        <v>44.666666666666664</v>
      </c>
      <c r="E15" s="991">
        <v>41401.666666666664</v>
      </c>
      <c r="F15" s="782">
        <v>171.87749999999997</v>
      </c>
      <c r="G15" s="991">
        <v>690.83333333333337</v>
      </c>
      <c r="H15" s="991">
        <v>59.166666666666664</v>
      </c>
      <c r="I15" s="1001">
        <v>2018</v>
      </c>
    </row>
    <row r="16" spans="1:9" s="289" customFormat="1" ht="10.5" customHeight="1">
      <c r="A16" s="989">
        <v>2019</v>
      </c>
      <c r="B16" s="996">
        <v>6385.416666666667</v>
      </c>
      <c r="C16" s="996">
        <v>15125</v>
      </c>
      <c r="D16" s="995">
        <v>35.583333333333336</v>
      </c>
      <c r="E16" s="996">
        <v>41673.333333333336</v>
      </c>
      <c r="F16" s="995">
        <v>172.48000000000002</v>
      </c>
      <c r="G16" s="996">
        <v>500.33333333333331</v>
      </c>
      <c r="H16" s="996">
        <v>45.75</v>
      </c>
      <c r="I16" s="1006">
        <v>2019</v>
      </c>
    </row>
    <row r="17" spans="1:9" s="289" customFormat="1" ht="10.5" customHeight="1">
      <c r="A17" s="988">
        <v>2020</v>
      </c>
      <c r="B17" s="994">
        <f>AVERAGE(B18:B29)</f>
        <v>6677.083333333333</v>
      </c>
      <c r="C17" s="994">
        <f t="shared" ref="C17:D17" si="0">AVERAGE(C18:C29)</f>
        <v>15812.5</v>
      </c>
      <c r="D17" s="993">
        <f t="shared" si="0"/>
        <v>43.75</v>
      </c>
      <c r="E17" s="994">
        <f>AVERAGE(E18:E29)</f>
        <v>66450.416666666672</v>
      </c>
      <c r="F17" s="993">
        <f>AVERAGE(F18:F29)</f>
        <v>180.03</v>
      </c>
      <c r="G17" s="994">
        <f t="shared" ref="G17:H17" si="1">AVERAGE(G18:G29)</f>
        <v>299.75</v>
      </c>
      <c r="H17" s="994">
        <f t="shared" si="1"/>
        <v>22.75</v>
      </c>
      <c r="I17" s="1003">
        <v>2020</v>
      </c>
    </row>
    <row r="18" spans="1:9" s="289" customFormat="1" ht="10.5" customHeight="1">
      <c r="A18" s="986" t="s">
        <v>607</v>
      </c>
      <c r="B18" s="918">
        <v>6500</v>
      </c>
      <c r="C18" s="918">
        <v>15400</v>
      </c>
      <c r="D18" s="850">
        <v>35</v>
      </c>
      <c r="E18" s="918">
        <v>41800</v>
      </c>
      <c r="F18" s="1005">
        <v>183.77</v>
      </c>
      <c r="G18" s="1020">
        <v>387</v>
      </c>
      <c r="H18" s="1020">
        <v>26</v>
      </c>
      <c r="I18" s="1002" t="s">
        <v>607</v>
      </c>
    </row>
    <row r="19" spans="1:9" s="289" customFormat="1" ht="10.5" customHeight="1">
      <c r="A19" s="985" t="s">
        <v>608</v>
      </c>
      <c r="B19" s="935">
        <v>6500</v>
      </c>
      <c r="C19" s="935">
        <v>15400</v>
      </c>
      <c r="D19" s="782">
        <v>35</v>
      </c>
      <c r="E19" s="935">
        <v>41820</v>
      </c>
      <c r="F19" s="1004">
        <v>178.41</v>
      </c>
      <c r="G19" s="1021">
        <v>400</v>
      </c>
      <c r="H19" s="1021">
        <v>27</v>
      </c>
      <c r="I19" s="1001" t="s">
        <v>608</v>
      </c>
    </row>
    <row r="20" spans="1:9" s="289" customFormat="1" ht="10.5" customHeight="1">
      <c r="A20" s="986" t="s">
        <v>600</v>
      </c>
      <c r="B20" s="918">
        <v>6500</v>
      </c>
      <c r="C20" s="918">
        <v>15400</v>
      </c>
      <c r="D20" s="850">
        <v>38</v>
      </c>
      <c r="E20" s="918">
        <v>51450</v>
      </c>
      <c r="F20" s="1005">
        <v>184.96</v>
      </c>
      <c r="G20" s="1020">
        <v>383</v>
      </c>
      <c r="H20" s="1020">
        <v>27</v>
      </c>
      <c r="I20" s="1002" t="s">
        <v>600</v>
      </c>
    </row>
    <row r="21" spans="1:9" s="289" customFormat="1" ht="10.5" customHeight="1">
      <c r="A21" s="985" t="s">
        <v>609</v>
      </c>
      <c r="B21" s="935">
        <v>6500</v>
      </c>
      <c r="C21" s="935">
        <v>15400</v>
      </c>
      <c r="D21" s="782">
        <v>45</v>
      </c>
      <c r="E21" s="935">
        <v>93284</v>
      </c>
      <c r="F21" s="1004">
        <v>180.11</v>
      </c>
      <c r="G21" s="1021">
        <v>337</v>
      </c>
      <c r="H21" s="1021">
        <v>26</v>
      </c>
      <c r="I21" s="1001" t="s">
        <v>609</v>
      </c>
    </row>
    <row r="22" spans="1:9" s="289" customFormat="1" ht="10.5" customHeight="1">
      <c r="A22" s="986" t="s">
        <v>610</v>
      </c>
      <c r="B22" s="918">
        <v>6500</v>
      </c>
      <c r="C22" s="918">
        <v>15400</v>
      </c>
      <c r="D22" s="850">
        <v>44</v>
      </c>
      <c r="E22" s="992">
        <v>97136.9</v>
      </c>
      <c r="F22" s="1005">
        <v>179.09</v>
      </c>
      <c r="G22" s="1020">
        <v>311</v>
      </c>
      <c r="H22" s="1020">
        <v>24</v>
      </c>
      <c r="I22" s="1002" t="s">
        <v>610</v>
      </c>
    </row>
    <row r="23" spans="1:9" s="289" customFormat="1" ht="10.5" customHeight="1">
      <c r="A23" s="985" t="s">
        <v>601</v>
      </c>
      <c r="B23" s="935">
        <v>6500</v>
      </c>
      <c r="C23" s="935">
        <v>15400</v>
      </c>
      <c r="D23" s="782">
        <v>44</v>
      </c>
      <c r="E23" s="991">
        <v>97280.1</v>
      </c>
      <c r="F23" s="1004">
        <v>172.06</v>
      </c>
      <c r="G23" s="1021">
        <v>296</v>
      </c>
      <c r="H23" s="1021">
        <v>25</v>
      </c>
      <c r="I23" s="1001" t="s">
        <v>601</v>
      </c>
    </row>
    <row r="24" spans="1:9" s="289" customFormat="1" ht="10.5" customHeight="1">
      <c r="A24" s="986" t="s">
        <v>603</v>
      </c>
      <c r="B24" s="918">
        <v>6500</v>
      </c>
      <c r="C24" s="918">
        <v>15400</v>
      </c>
      <c r="D24" s="850">
        <v>45</v>
      </c>
      <c r="E24" s="918">
        <v>59170</v>
      </c>
      <c r="F24" s="1005">
        <v>186.17</v>
      </c>
      <c r="G24" s="1020">
        <v>251</v>
      </c>
      <c r="H24" s="1020">
        <v>23</v>
      </c>
      <c r="I24" s="1002" t="s">
        <v>603</v>
      </c>
    </row>
    <row r="25" spans="1:9" s="289" customFormat="1" ht="10.5" customHeight="1">
      <c r="A25" s="985" t="s">
        <v>604</v>
      </c>
      <c r="B25" s="935">
        <v>6500</v>
      </c>
      <c r="C25" s="935">
        <v>15400</v>
      </c>
      <c r="D25" s="782">
        <v>45</v>
      </c>
      <c r="E25" s="935">
        <v>63200</v>
      </c>
      <c r="F25" s="1004">
        <v>177.77</v>
      </c>
      <c r="G25" s="1021">
        <v>216</v>
      </c>
      <c r="H25" s="1021">
        <v>19</v>
      </c>
      <c r="I25" s="1001" t="s">
        <v>604</v>
      </c>
    </row>
    <row r="26" spans="1:9" s="289" customFormat="1" ht="10.5" customHeight="1">
      <c r="A26" s="986" t="s">
        <v>598</v>
      </c>
      <c r="B26" s="918">
        <v>6500</v>
      </c>
      <c r="C26" s="918">
        <v>15400</v>
      </c>
      <c r="D26" s="850">
        <v>47</v>
      </c>
      <c r="E26" s="918">
        <v>63000</v>
      </c>
      <c r="F26" s="1005">
        <v>186.16</v>
      </c>
      <c r="G26" s="1020">
        <v>235</v>
      </c>
      <c r="H26" s="1020">
        <v>18</v>
      </c>
      <c r="I26" s="1002" t="s">
        <v>598</v>
      </c>
    </row>
    <row r="27" spans="1:9" s="289" customFormat="1" ht="10.5" customHeight="1">
      <c r="A27" s="985" t="s">
        <v>605</v>
      </c>
      <c r="B27" s="935">
        <v>6500</v>
      </c>
      <c r="C27" s="935">
        <v>15400</v>
      </c>
      <c r="D27" s="782">
        <v>49</v>
      </c>
      <c r="E27" s="935">
        <v>58540</v>
      </c>
      <c r="F27" s="1004">
        <v>178.52</v>
      </c>
      <c r="G27" s="1021">
        <v>252</v>
      </c>
      <c r="H27" s="1021">
        <v>17</v>
      </c>
      <c r="I27" s="1001" t="s">
        <v>605</v>
      </c>
    </row>
    <row r="28" spans="1:9" s="289" customFormat="1" ht="10.5" customHeight="1">
      <c r="A28" s="986" t="s">
        <v>606</v>
      </c>
      <c r="B28" s="918">
        <v>6500</v>
      </c>
      <c r="C28" s="918">
        <v>15400</v>
      </c>
      <c r="D28" s="850">
        <v>49</v>
      </c>
      <c r="E28" s="918">
        <v>65572</v>
      </c>
      <c r="F28" s="1005">
        <v>178.09</v>
      </c>
      <c r="G28" s="1020">
        <v>246</v>
      </c>
      <c r="H28" s="1020">
        <v>18</v>
      </c>
      <c r="I28" s="1002" t="s">
        <v>606</v>
      </c>
    </row>
    <row r="29" spans="1:9" s="289" customFormat="1" ht="10.5" customHeight="1">
      <c r="A29" s="985" t="s">
        <v>599</v>
      </c>
      <c r="B29" s="935">
        <v>8625</v>
      </c>
      <c r="C29" s="935">
        <v>20350</v>
      </c>
      <c r="D29" s="782">
        <v>49</v>
      </c>
      <c r="E29" s="991">
        <v>65152</v>
      </c>
      <c r="F29" s="1004">
        <v>175.25</v>
      </c>
      <c r="G29" s="1021">
        <v>283</v>
      </c>
      <c r="H29" s="1021">
        <v>23</v>
      </c>
      <c r="I29" s="1001" t="s">
        <v>599</v>
      </c>
    </row>
    <row r="30" spans="1:9" s="289" customFormat="1" ht="10.5" customHeight="1">
      <c r="A30" s="989">
        <v>2021</v>
      </c>
      <c r="B30" s="1362">
        <f>AVERAGE(B31:B42)</f>
        <v>14750</v>
      </c>
      <c r="C30" s="1362">
        <f t="shared" ref="C30:D30" si="2">AVERAGE(C31:C42)</f>
        <v>31700</v>
      </c>
      <c r="D30" s="995">
        <f t="shared" si="2"/>
        <v>52</v>
      </c>
      <c r="E30" s="996">
        <f>AVERAGE(E31:E42)</f>
        <v>64838.400000000001</v>
      </c>
      <c r="F30" s="995">
        <f>AVERAGE(F31:F42)</f>
        <v>212.56583333333336</v>
      </c>
      <c r="G30" s="996">
        <f t="shared" ref="G30:H30" si="3">AVERAGE(G31:G42)</f>
        <v>311.5</v>
      </c>
      <c r="H30" s="996">
        <f t="shared" si="3"/>
        <v>26.75</v>
      </c>
      <c r="I30" s="1006">
        <v>2021</v>
      </c>
    </row>
    <row r="31" spans="1:9" s="289" customFormat="1" ht="10.5" customHeight="1">
      <c r="A31" s="985" t="s">
        <v>607</v>
      </c>
      <c r="B31" s="935">
        <v>14750</v>
      </c>
      <c r="C31" s="935">
        <v>31700</v>
      </c>
      <c r="D31" s="782">
        <v>49</v>
      </c>
      <c r="E31" s="935">
        <v>65020</v>
      </c>
      <c r="F31" s="1004">
        <v>182.27</v>
      </c>
      <c r="G31" s="1021">
        <v>281</v>
      </c>
      <c r="H31" s="1021">
        <v>23</v>
      </c>
      <c r="I31" s="1001" t="s">
        <v>607</v>
      </c>
    </row>
    <row r="32" spans="1:9" s="289" customFormat="1" ht="10.5" customHeight="1">
      <c r="A32" s="986" t="s">
        <v>608</v>
      </c>
      <c r="B32" s="918">
        <v>14750</v>
      </c>
      <c r="C32" s="918">
        <v>31700</v>
      </c>
      <c r="D32" s="850">
        <v>50</v>
      </c>
      <c r="E32" s="918">
        <v>65031</v>
      </c>
      <c r="F32" s="1005">
        <v>184.75</v>
      </c>
      <c r="G32" s="1020">
        <v>282</v>
      </c>
      <c r="H32" s="1020">
        <v>30</v>
      </c>
      <c r="I32" s="1002" t="s">
        <v>608</v>
      </c>
    </row>
    <row r="33" spans="1:9" s="289" customFormat="1" ht="10.5" customHeight="1">
      <c r="A33" s="985" t="s">
        <v>600</v>
      </c>
      <c r="B33" s="935">
        <v>14750</v>
      </c>
      <c r="C33" s="935">
        <v>31700</v>
      </c>
      <c r="D33" s="782">
        <v>52</v>
      </c>
      <c r="E33" s="991">
        <v>65042.2</v>
      </c>
      <c r="F33" s="1004">
        <v>198.67</v>
      </c>
      <c r="G33" s="1021">
        <v>283</v>
      </c>
      <c r="H33" s="1021">
        <v>31</v>
      </c>
      <c r="I33" s="1001" t="s">
        <v>600</v>
      </c>
    </row>
    <row r="34" spans="1:9" s="289" customFormat="1" ht="10.5" customHeight="1">
      <c r="A34" s="986" t="s">
        <v>609</v>
      </c>
      <c r="B34" s="918">
        <v>14750</v>
      </c>
      <c r="C34" s="918">
        <v>31700</v>
      </c>
      <c r="D34" s="850">
        <v>51</v>
      </c>
      <c r="E34" s="992">
        <v>65050.2</v>
      </c>
      <c r="F34" s="1005">
        <v>212.08</v>
      </c>
      <c r="G34" s="1020">
        <v>283</v>
      </c>
      <c r="H34" s="1020">
        <v>31</v>
      </c>
      <c r="I34" s="1002" t="s">
        <v>609</v>
      </c>
    </row>
    <row r="35" spans="1:9" s="289" customFormat="1" ht="10.5" customHeight="1">
      <c r="A35" s="985" t="s">
        <v>610</v>
      </c>
      <c r="B35" s="935">
        <v>14750</v>
      </c>
      <c r="C35" s="935">
        <v>31700</v>
      </c>
      <c r="D35" s="782">
        <v>50</v>
      </c>
      <c r="E35" s="991">
        <v>65059.7</v>
      </c>
      <c r="F35" s="1004">
        <v>205.03</v>
      </c>
      <c r="G35" s="1021">
        <v>283</v>
      </c>
      <c r="H35" s="1021">
        <v>31</v>
      </c>
      <c r="I35" s="1001" t="s">
        <v>610</v>
      </c>
    </row>
    <row r="36" spans="1:9" s="289" customFormat="1" ht="10.5" customHeight="1">
      <c r="A36" s="986" t="s">
        <v>601</v>
      </c>
      <c r="B36" s="918">
        <v>14750</v>
      </c>
      <c r="C36" s="918">
        <v>31700</v>
      </c>
      <c r="D36" s="850">
        <v>50</v>
      </c>
      <c r="E36" s="992">
        <v>65021.7</v>
      </c>
      <c r="F36" s="1005">
        <v>220.39</v>
      </c>
      <c r="G36" s="1020">
        <v>281</v>
      </c>
      <c r="H36" s="1020">
        <v>30</v>
      </c>
      <c r="I36" s="1002" t="s">
        <v>601</v>
      </c>
    </row>
    <row r="37" spans="1:9" s="289" customFormat="1" ht="10.5" customHeight="1">
      <c r="A37" s="985" t="s">
        <v>603</v>
      </c>
      <c r="B37" s="935">
        <v>14750</v>
      </c>
      <c r="C37" s="935">
        <v>31700</v>
      </c>
      <c r="D37" s="782">
        <v>51</v>
      </c>
      <c r="E37" s="935">
        <v>64906</v>
      </c>
      <c r="F37" s="1004">
        <v>251.07</v>
      </c>
      <c r="G37" s="1021">
        <v>279</v>
      </c>
      <c r="H37" s="1021">
        <v>26</v>
      </c>
      <c r="I37" s="1001" t="s">
        <v>603</v>
      </c>
    </row>
    <row r="38" spans="1:9" s="289" customFormat="1" ht="10.5" customHeight="1">
      <c r="A38" s="986" t="s">
        <v>604</v>
      </c>
      <c r="B38" s="918">
        <v>14750</v>
      </c>
      <c r="C38" s="918">
        <v>31700</v>
      </c>
      <c r="D38" s="850">
        <v>52</v>
      </c>
      <c r="E38" s="918">
        <v>64906</v>
      </c>
      <c r="F38" s="1005">
        <v>219.43</v>
      </c>
      <c r="G38" s="1020">
        <v>310</v>
      </c>
      <c r="H38" s="1020">
        <v>25</v>
      </c>
      <c r="I38" s="1002" t="s">
        <v>604</v>
      </c>
    </row>
    <row r="39" spans="1:9" s="289" customFormat="1" ht="10.5" customHeight="1">
      <c r="A39" s="985" t="s">
        <v>598</v>
      </c>
      <c r="B39" s="935">
        <v>14750</v>
      </c>
      <c r="C39" s="935">
        <v>31700</v>
      </c>
      <c r="D39" s="782">
        <v>51</v>
      </c>
      <c r="E39" s="935">
        <v>64506</v>
      </c>
      <c r="F39" s="1004">
        <v>241.38</v>
      </c>
      <c r="G39" s="1021">
        <v>355</v>
      </c>
      <c r="H39" s="1021">
        <v>22</v>
      </c>
      <c r="I39" s="1001" t="s">
        <v>598</v>
      </c>
    </row>
    <row r="40" spans="1:9" s="289" customFormat="1" ht="10.5" customHeight="1">
      <c r="A40" s="986" t="s">
        <v>605</v>
      </c>
      <c r="B40" s="918">
        <v>14750</v>
      </c>
      <c r="C40" s="918">
        <v>31700</v>
      </c>
      <c r="D40" s="850">
        <v>50</v>
      </c>
      <c r="E40" s="918">
        <v>64506</v>
      </c>
      <c r="F40" s="1005">
        <v>213.59</v>
      </c>
      <c r="G40" s="1020">
        <v>367</v>
      </c>
      <c r="H40" s="1020">
        <v>22</v>
      </c>
      <c r="I40" s="1002" t="s">
        <v>605</v>
      </c>
    </row>
    <row r="41" spans="1:9" s="289" customFormat="1" ht="10.5" customHeight="1">
      <c r="A41" s="985" t="s">
        <v>606</v>
      </c>
      <c r="B41" s="935">
        <v>14750</v>
      </c>
      <c r="C41" s="935">
        <v>31700</v>
      </c>
      <c r="D41" s="782">
        <v>50</v>
      </c>
      <c r="E41" s="935">
        <v>64506</v>
      </c>
      <c r="F41" s="1004">
        <v>217.17</v>
      </c>
      <c r="G41" s="1021">
        <v>367</v>
      </c>
      <c r="H41" s="1021">
        <v>22</v>
      </c>
      <c r="I41" s="1001" t="s">
        <v>606</v>
      </c>
    </row>
    <row r="42" spans="1:9" s="289" customFormat="1" ht="10.5" customHeight="1">
      <c r="A42" s="986" t="s">
        <v>599</v>
      </c>
      <c r="B42" s="918">
        <v>14750</v>
      </c>
      <c r="C42" s="918">
        <v>31700</v>
      </c>
      <c r="D42" s="850">
        <v>68</v>
      </c>
      <c r="E42" s="918">
        <v>64506</v>
      </c>
      <c r="F42" s="1005">
        <v>204.96</v>
      </c>
      <c r="G42" s="1020">
        <v>367</v>
      </c>
      <c r="H42" s="1020">
        <v>28</v>
      </c>
      <c r="I42" s="1002" t="s">
        <v>599</v>
      </c>
    </row>
    <row r="43" spans="1:9" s="289" customFormat="1" ht="10.5" customHeight="1">
      <c r="A43" s="988">
        <v>2022</v>
      </c>
      <c r="B43" s="935"/>
      <c r="C43" s="935"/>
      <c r="D43" s="782"/>
      <c r="E43" s="935"/>
      <c r="F43" s="1004"/>
      <c r="G43" s="1021"/>
      <c r="H43" s="1021"/>
      <c r="I43" s="1003">
        <v>2022</v>
      </c>
    </row>
    <row r="44" spans="1:9" s="289" customFormat="1" ht="10.5" customHeight="1">
      <c r="A44" s="986" t="s">
        <v>607</v>
      </c>
      <c r="B44" s="918">
        <v>14750</v>
      </c>
      <c r="C44" s="918">
        <v>31700</v>
      </c>
      <c r="D44" s="850">
        <v>49</v>
      </c>
      <c r="E44" s="918">
        <v>65700</v>
      </c>
      <c r="F44" s="1005">
        <v>212.57</v>
      </c>
      <c r="G44" s="1020">
        <v>367</v>
      </c>
      <c r="H44" s="1020">
        <v>29</v>
      </c>
      <c r="I44" s="1391" t="s">
        <v>607</v>
      </c>
    </row>
    <row r="45" spans="1:9" s="289" customFormat="1" ht="10.5" customHeight="1">
      <c r="A45" s="985" t="s">
        <v>608</v>
      </c>
      <c r="B45" s="935">
        <v>14750</v>
      </c>
      <c r="C45" s="935">
        <v>31700</v>
      </c>
      <c r="D45" s="782">
        <v>50</v>
      </c>
      <c r="E45" s="935">
        <v>65700</v>
      </c>
      <c r="F45" s="1004">
        <v>196.56</v>
      </c>
      <c r="G45" s="1021">
        <v>404</v>
      </c>
      <c r="H45" s="1021">
        <v>29</v>
      </c>
      <c r="I45" s="1401" t="s">
        <v>608</v>
      </c>
    </row>
    <row r="46" spans="1:9" s="289" customFormat="1" ht="10.5" customHeight="1">
      <c r="A46" s="986" t="s">
        <v>600</v>
      </c>
      <c r="B46" s="918">
        <v>11700</v>
      </c>
      <c r="C46" s="918">
        <v>25200</v>
      </c>
      <c r="D46" s="850">
        <v>50</v>
      </c>
      <c r="E46" s="918">
        <v>66100</v>
      </c>
      <c r="F46" s="1005">
        <v>213.26</v>
      </c>
      <c r="G46" s="1020">
        <v>497</v>
      </c>
      <c r="H46" s="1020">
        <v>29</v>
      </c>
      <c r="I46" s="1391" t="s">
        <v>600</v>
      </c>
    </row>
    <row r="47" spans="1:9" s="289" customFormat="1" ht="10.5" customHeight="1">
      <c r="A47" s="985" t="s">
        <v>609</v>
      </c>
      <c r="B47" s="935">
        <v>11700</v>
      </c>
      <c r="C47" s="935">
        <v>25200</v>
      </c>
      <c r="D47" s="782">
        <v>50</v>
      </c>
      <c r="E47" s="935">
        <v>66600</v>
      </c>
      <c r="F47" s="1004">
        <v>237.59</v>
      </c>
      <c r="G47" s="1021">
        <v>500</v>
      </c>
      <c r="H47" s="1021">
        <v>29</v>
      </c>
      <c r="I47" s="1401" t="s">
        <v>609</v>
      </c>
    </row>
    <row r="48" spans="1:9" s="289" customFormat="1" ht="10.5" customHeight="1">
      <c r="A48" s="986" t="s">
        <v>610</v>
      </c>
      <c r="B48" s="918">
        <v>11700</v>
      </c>
      <c r="C48" s="918">
        <v>25200</v>
      </c>
      <c r="D48" s="850">
        <v>50</v>
      </c>
      <c r="E48" s="918">
        <v>70700</v>
      </c>
      <c r="F48" s="1005">
        <v>224.68</v>
      </c>
      <c r="G48" s="1020">
        <v>463</v>
      </c>
      <c r="H48" s="1020">
        <v>29</v>
      </c>
      <c r="I48" s="1391" t="s">
        <v>610</v>
      </c>
    </row>
    <row r="49" spans="1:9" s="289" customFormat="1" ht="10.5" customHeight="1">
      <c r="A49" s="985" t="s">
        <v>601</v>
      </c>
      <c r="B49" s="935">
        <v>11700</v>
      </c>
      <c r="C49" s="935">
        <v>25200</v>
      </c>
      <c r="D49" s="782">
        <v>53</v>
      </c>
      <c r="E49" s="935">
        <v>68200</v>
      </c>
      <c r="F49" s="1004">
        <v>195.53</v>
      </c>
      <c r="G49" s="1021">
        <v>433</v>
      </c>
      <c r="H49" s="1021">
        <v>25</v>
      </c>
      <c r="I49" s="1401" t="s">
        <v>601</v>
      </c>
    </row>
    <row r="50" spans="1:9" s="289" customFormat="1" ht="10.5" customHeight="1">
      <c r="A50" s="986" t="s">
        <v>603</v>
      </c>
      <c r="B50" s="918">
        <v>11700</v>
      </c>
      <c r="C50" s="918">
        <v>25200</v>
      </c>
      <c r="D50" s="850">
        <v>54</v>
      </c>
      <c r="E50" s="918">
        <v>66200</v>
      </c>
      <c r="F50" s="1005">
        <v>240.3</v>
      </c>
      <c r="G50" s="1020">
        <v>454</v>
      </c>
      <c r="H50" s="1020">
        <v>31</v>
      </c>
      <c r="I50" s="1391" t="s">
        <v>603</v>
      </c>
    </row>
    <row r="51" spans="1:9" s="289" customFormat="1" ht="10.5" customHeight="1">
      <c r="A51" s="985" t="s">
        <v>604</v>
      </c>
      <c r="B51" s="935">
        <v>11700</v>
      </c>
      <c r="C51" s="935">
        <v>25200</v>
      </c>
      <c r="D51" s="782">
        <v>55</v>
      </c>
      <c r="E51" s="935">
        <v>72300</v>
      </c>
      <c r="F51" s="1004">
        <v>281</v>
      </c>
      <c r="G51" s="1021">
        <v>470</v>
      </c>
      <c r="H51" s="1021">
        <v>21</v>
      </c>
      <c r="I51" s="1401" t="s">
        <v>604</v>
      </c>
    </row>
    <row r="52" spans="1:9" s="289" customFormat="1" ht="10.5" customHeight="1">
      <c r="A52" s="986" t="s">
        <v>598</v>
      </c>
      <c r="B52" s="918">
        <v>11700</v>
      </c>
      <c r="C52" s="918">
        <v>25200</v>
      </c>
      <c r="D52" s="850">
        <v>56</v>
      </c>
      <c r="E52" s="918">
        <v>70600</v>
      </c>
      <c r="F52" s="1005">
        <v>221.89</v>
      </c>
      <c r="G52" s="1020">
        <v>450</v>
      </c>
      <c r="H52" s="1020">
        <v>21</v>
      </c>
      <c r="I52" s="1391" t="s">
        <v>598</v>
      </c>
    </row>
    <row r="53" spans="1:9" s="289" customFormat="1" ht="10.5" customHeight="1">
      <c r="A53" s="985" t="s">
        <v>605</v>
      </c>
      <c r="B53" s="935">
        <v>11700</v>
      </c>
      <c r="C53" s="935">
        <v>25200</v>
      </c>
      <c r="D53" s="782">
        <v>56</v>
      </c>
      <c r="E53" s="935">
        <v>68700</v>
      </c>
      <c r="F53" s="1004">
        <v>225.08</v>
      </c>
      <c r="G53" s="1021">
        <v>450</v>
      </c>
      <c r="H53" s="1021">
        <v>21</v>
      </c>
      <c r="I53" s="1401" t="s">
        <v>605</v>
      </c>
    </row>
    <row r="54" spans="1:9" s="289" customFormat="1" ht="10.5" customHeight="1" thickBot="1">
      <c r="A54" s="1737" t="s">
        <v>606</v>
      </c>
      <c r="B54" s="839">
        <v>11700</v>
      </c>
      <c r="C54" s="839">
        <v>25200</v>
      </c>
      <c r="D54" s="780">
        <v>56</v>
      </c>
      <c r="E54" s="839" t="s">
        <v>305</v>
      </c>
      <c r="F54" s="1738">
        <v>230.76</v>
      </c>
      <c r="G54" s="1739">
        <v>450</v>
      </c>
      <c r="H54" s="1739">
        <v>19</v>
      </c>
      <c r="I54" s="1740" t="s">
        <v>606</v>
      </c>
    </row>
    <row r="55" spans="1:9" s="40" customFormat="1" ht="10.5" customHeight="1">
      <c r="A55" s="883" t="s">
        <v>2124</v>
      </c>
      <c r="B55" s="1075" t="s">
        <v>1377</v>
      </c>
      <c r="C55" s="1853"/>
      <c r="D55" s="1853"/>
      <c r="F55" s="1852" t="s">
        <v>1772</v>
      </c>
      <c r="G55" s="1852"/>
      <c r="H55" s="50"/>
      <c r="I55" s="50"/>
    </row>
    <row r="56" spans="1:9" s="40" customFormat="1" ht="10.7" customHeight="1">
      <c r="A56" s="44"/>
      <c r="B56" s="144" t="s">
        <v>1528</v>
      </c>
      <c r="C56" s="50"/>
      <c r="D56" s="1386"/>
      <c r="E56" s="50"/>
      <c r="F56" s="1853" t="s">
        <v>1378</v>
      </c>
      <c r="G56" s="1853"/>
      <c r="H56" s="1386"/>
      <c r="I56" s="50"/>
    </row>
    <row r="57" spans="1:9" s="40" customFormat="1" ht="10.7" customHeight="1">
      <c r="C57" s="144"/>
      <c r="D57" s="50"/>
      <c r="F57" s="1727" t="s">
        <v>1379</v>
      </c>
      <c r="G57" s="50"/>
      <c r="H57" s="1386"/>
      <c r="I57" s="50"/>
    </row>
    <row r="58" spans="1:9" ht="12" customHeight="1">
      <c r="A58" s="40"/>
      <c r="B58" s="1073"/>
      <c r="C58" s="40"/>
      <c r="D58" s="40"/>
      <c r="E58" s="40"/>
      <c r="F58" s="40"/>
      <c r="G58" s="40"/>
      <c r="H58" s="1074"/>
      <c r="I58" s="40"/>
    </row>
    <row r="59" spans="1:9" ht="12.6" customHeight="1"/>
    <row r="60" spans="1: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F56:G56"/>
    <mergeCell ref="I2:I5"/>
    <mergeCell ref="C55:D55"/>
    <mergeCell ref="F55:G55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39370078740157499" top="0.511811023622047" bottom="0.511811023622047" header="0" footer="0.51333337007869995"/>
  <pageSetup paperSize="145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F85" sqref="F85"/>
      <selection pane="topRight" activeCell="F85" sqref="F85"/>
      <selection pane="bottomLeft" activeCell="F85" sqref="F85"/>
      <selection pane="bottomRight" activeCell="E73" sqref="E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24" t="s">
        <v>2348</v>
      </c>
      <c r="B1" s="2124"/>
      <c r="C1" s="2124"/>
      <c r="D1" s="2124"/>
      <c r="E1" s="2124"/>
      <c r="F1" s="2124"/>
      <c r="G1" s="2124"/>
      <c r="H1" s="2124"/>
      <c r="I1" s="2124"/>
      <c r="J1" s="2124"/>
      <c r="K1" s="2124"/>
      <c r="L1" s="2124" t="s">
        <v>2349</v>
      </c>
      <c r="M1" s="2124"/>
      <c r="N1" s="2124"/>
      <c r="O1" s="2124"/>
      <c r="P1" s="2124"/>
      <c r="Q1" s="2124"/>
      <c r="R1" s="2124"/>
      <c r="S1" s="2124"/>
      <c r="T1" s="2124"/>
      <c r="U1" s="2105" t="s">
        <v>1199</v>
      </c>
      <c r="V1" s="2105"/>
      <c r="W1" s="55"/>
    </row>
    <row r="2" spans="1:24" s="21" customFormat="1" ht="12.75" customHeight="1">
      <c r="A2" s="1147"/>
      <c r="B2" s="1147"/>
      <c r="C2" s="1147"/>
      <c r="D2" s="1147"/>
      <c r="E2" s="1147"/>
      <c r="F2" s="1147"/>
      <c r="G2" s="1147"/>
      <c r="I2" s="1147"/>
      <c r="L2" s="1147"/>
      <c r="M2" s="1147"/>
      <c r="N2" s="1147"/>
      <c r="O2" s="1147"/>
      <c r="P2" s="1147"/>
      <c r="Q2" s="1147"/>
      <c r="R2" s="1147"/>
      <c r="T2" s="93"/>
      <c r="U2" s="2134" t="s">
        <v>24</v>
      </c>
      <c r="V2" s="2134"/>
      <c r="W2" s="93"/>
    </row>
    <row r="3" spans="1:24" s="91" customFormat="1" ht="71.25" customHeight="1">
      <c r="A3" s="2135" t="s">
        <v>524</v>
      </c>
      <c r="B3" s="1300" t="s">
        <v>1412</v>
      </c>
      <c r="C3" s="1300" t="s">
        <v>547</v>
      </c>
      <c r="D3" s="1300" t="s">
        <v>2350</v>
      </c>
      <c r="E3" s="1300" t="s">
        <v>277</v>
      </c>
      <c r="F3" s="1300" t="s">
        <v>2351</v>
      </c>
      <c r="G3" s="1300" t="s">
        <v>278</v>
      </c>
      <c r="H3" s="1300" t="s">
        <v>1405</v>
      </c>
      <c r="I3" s="1300" t="s">
        <v>1406</v>
      </c>
      <c r="J3" s="1300" t="s">
        <v>1407</v>
      </c>
      <c r="K3" s="1300" t="s">
        <v>279</v>
      </c>
      <c r="L3" s="1300" t="s">
        <v>1408</v>
      </c>
      <c r="M3" s="1300" t="s">
        <v>1409</v>
      </c>
      <c r="N3" s="1300" t="s">
        <v>2352</v>
      </c>
      <c r="O3" s="1300" t="s">
        <v>1410</v>
      </c>
      <c r="P3" s="1300" t="s">
        <v>1411</v>
      </c>
      <c r="Q3" s="1300" t="s">
        <v>2353</v>
      </c>
      <c r="R3" s="1300" t="s">
        <v>275</v>
      </c>
      <c r="S3" s="1300" t="s">
        <v>2354</v>
      </c>
      <c r="T3" s="1316" t="s">
        <v>276</v>
      </c>
      <c r="U3" s="1317" t="s">
        <v>708</v>
      </c>
      <c r="V3" s="2135" t="s">
        <v>524</v>
      </c>
      <c r="W3" s="94"/>
      <c r="X3" s="94"/>
    </row>
    <row r="4" spans="1:24" s="81" customFormat="1">
      <c r="A4" s="2136"/>
      <c r="B4" s="1297">
        <v>1</v>
      </c>
      <c r="C4" s="1297">
        <v>2</v>
      </c>
      <c r="D4" s="1297">
        <v>3</v>
      </c>
      <c r="E4" s="1297">
        <v>4</v>
      </c>
      <c r="F4" s="1297">
        <v>5</v>
      </c>
      <c r="G4" s="1297">
        <v>6</v>
      </c>
      <c r="H4" s="1297">
        <v>7</v>
      </c>
      <c r="I4" s="1297">
        <v>8</v>
      </c>
      <c r="J4" s="1297">
        <v>9</v>
      </c>
      <c r="K4" s="1297">
        <v>10</v>
      </c>
      <c r="L4" s="1297">
        <v>11</v>
      </c>
      <c r="M4" s="1297">
        <v>12</v>
      </c>
      <c r="N4" s="1297">
        <v>13</v>
      </c>
      <c r="O4" s="1297">
        <v>14</v>
      </c>
      <c r="P4" s="1297">
        <v>15</v>
      </c>
      <c r="Q4" s="1297">
        <v>16</v>
      </c>
      <c r="R4" s="1297">
        <v>17</v>
      </c>
      <c r="S4" s="1297">
        <v>18</v>
      </c>
      <c r="T4" s="1297">
        <v>19</v>
      </c>
      <c r="U4" s="1297">
        <v>20</v>
      </c>
      <c r="V4" s="2136"/>
      <c r="W4" s="1318"/>
      <c r="X4" s="1319"/>
    </row>
    <row r="5" spans="1:24" s="1323" customFormat="1" ht="9" customHeight="1">
      <c r="A5" s="2137" t="s">
        <v>2343</v>
      </c>
      <c r="B5" s="2137"/>
      <c r="C5" s="2137"/>
      <c r="D5" s="1320"/>
      <c r="E5" s="1320"/>
      <c r="F5" s="1320"/>
      <c r="G5" s="1320"/>
      <c r="H5" s="1320"/>
      <c r="I5" s="1320"/>
      <c r="J5" s="1320"/>
      <c r="K5" s="1320"/>
      <c r="L5" s="1320"/>
      <c r="M5" s="1320"/>
      <c r="N5" s="1320"/>
      <c r="O5" s="1320"/>
      <c r="P5" s="1320"/>
      <c r="Q5" s="1320"/>
      <c r="R5" s="1320"/>
      <c r="S5" s="1320"/>
      <c r="T5" s="1320"/>
      <c r="U5" s="1320"/>
      <c r="V5" s="379"/>
      <c r="W5" s="1321"/>
      <c r="X5" s="1322"/>
    </row>
    <row r="6" spans="1:24" s="33" customFormat="1" ht="8.25" customHeight="1">
      <c r="A6" s="1324" t="s">
        <v>602</v>
      </c>
      <c r="B6" s="1325">
        <v>70171</v>
      </c>
      <c r="C6" s="1325">
        <v>16814</v>
      </c>
      <c r="D6" s="1325">
        <v>7009</v>
      </c>
      <c r="E6" s="1325">
        <v>73834</v>
      </c>
      <c r="F6" s="1325">
        <v>5553</v>
      </c>
      <c r="G6" s="1325">
        <v>29825</v>
      </c>
      <c r="H6" s="1325">
        <v>62352</v>
      </c>
      <c r="I6" s="1325">
        <v>3467</v>
      </c>
      <c r="J6" s="1325">
        <v>46497</v>
      </c>
      <c r="K6" s="1325">
        <v>14216</v>
      </c>
      <c r="L6" s="1325">
        <v>37935</v>
      </c>
      <c r="M6" s="1325">
        <v>14089</v>
      </c>
      <c r="N6" s="1325">
        <v>9962</v>
      </c>
      <c r="O6" s="1325">
        <v>9288</v>
      </c>
      <c r="P6" s="1325">
        <v>56600</v>
      </c>
      <c r="Q6" s="1326">
        <f>SUM(B6:P6)</f>
        <v>457612</v>
      </c>
      <c r="R6" s="1325">
        <v>24725</v>
      </c>
      <c r="S6" s="1325">
        <f>Q6+R6</f>
        <v>482337</v>
      </c>
      <c r="T6" s="1325">
        <v>27208</v>
      </c>
      <c r="U6" s="1325">
        <f>S6+T6</f>
        <v>509545</v>
      </c>
      <c r="V6" s="1338" t="s">
        <v>602</v>
      </c>
    </row>
    <row r="7" spans="1:24" s="243" customFormat="1" ht="8.1" customHeight="1">
      <c r="A7" s="188"/>
      <c r="B7" s="1327">
        <f>(B6/S6)*100</f>
        <v>14.548127139323752</v>
      </c>
      <c r="C7" s="1327">
        <f>(C6/S6)*100</f>
        <v>3.4859444745064136</v>
      </c>
      <c r="D7" s="1327">
        <f>(D6/S6)*100</f>
        <v>1.4531333901400889</v>
      </c>
      <c r="E7" s="1327">
        <f>(E6/S6)*100</f>
        <v>15.307554676502114</v>
      </c>
      <c r="F7" s="1327">
        <f>(F6/S6)*100</f>
        <v>1.151269755378501</v>
      </c>
      <c r="G7" s="1327">
        <f>(G6/S6)*100</f>
        <v>6.1834360623381581</v>
      </c>
      <c r="H7" s="1327">
        <f>(H6/S6)*100</f>
        <v>12.927061369955032</v>
      </c>
      <c r="I7" s="1327">
        <f>(I6/S6)*100</f>
        <v>0.71879204788353368</v>
      </c>
      <c r="J7" s="1327">
        <f>(J6/S6)*100</f>
        <v>9.6399405394983173</v>
      </c>
      <c r="K7" s="1327">
        <f>(K6/S6)*100</f>
        <v>2.9473169174249541</v>
      </c>
      <c r="L7" s="1327">
        <f>(L6/S6)*100</f>
        <v>7.8648330938741999</v>
      </c>
      <c r="M7" s="1327">
        <f>(M6/S6)*100</f>
        <v>2.9209867789533042</v>
      </c>
      <c r="N7" s="1327">
        <f>(N6/S6)*100</f>
        <v>2.0653609405871829</v>
      </c>
      <c r="O7" s="1327">
        <f>(O6/S6)*100</f>
        <v>1.9256246151549643</v>
      </c>
      <c r="P7" s="1327">
        <f>(P6/S6)*100</f>
        <v>11.734534153506781</v>
      </c>
      <c r="Q7" s="1327">
        <f>(Q6/S6)*100</f>
        <v>94.8739159550273</v>
      </c>
      <c r="R7" s="1327">
        <f>(R6/S6)*100</f>
        <v>5.1260840449727052</v>
      </c>
      <c r="S7" s="1327">
        <f>(S6/S6)*100</f>
        <v>100</v>
      </c>
      <c r="T7" s="1328"/>
      <c r="U7" s="1328"/>
      <c r="V7" s="304"/>
    </row>
    <row r="8" spans="1:24" s="33" customFormat="1" ht="8.1" customHeight="1">
      <c r="A8" s="1329" t="s">
        <v>611</v>
      </c>
      <c r="B8" s="1325">
        <v>79010</v>
      </c>
      <c r="C8" s="1325">
        <v>18890</v>
      </c>
      <c r="D8" s="1325">
        <v>7866</v>
      </c>
      <c r="E8" s="1325">
        <v>87606</v>
      </c>
      <c r="F8" s="1325">
        <v>5720</v>
      </c>
      <c r="G8" s="1325">
        <v>33513</v>
      </c>
      <c r="H8" s="1325">
        <v>72971</v>
      </c>
      <c r="I8" s="1325">
        <v>4069</v>
      </c>
      <c r="J8" s="1325">
        <v>53132</v>
      </c>
      <c r="K8" s="1325">
        <v>16265</v>
      </c>
      <c r="L8" s="1325">
        <v>41337</v>
      </c>
      <c r="M8" s="1325">
        <v>17132</v>
      </c>
      <c r="N8" s="1325">
        <v>11853</v>
      </c>
      <c r="O8" s="1325">
        <v>10453</v>
      </c>
      <c r="P8" s="1325">
        <v>63544</v>
      </c>
      <c r="Q8" s="1326">
        <f>SUM(B8:P8)</f>
        <v>523361</v>
      </c>
      <c r="R8" s="1325">
        <v>26439</v>
      </c>
      <c r="S8" s="1325">
        <f>Q8+R8</f>
        <v>549800</v>
      </c>
      <c r="T8" s="1325">
        <v>35276</v>
      </c>
      <c r="U8" s="1325">
        <f>S8+T8</f>
        <v>585076</v>
      </c>
      <c r="V8" s="1338" t="s">
        <v>611</v>
      </c>
    </row>
    <row r="9" spans="1:24" s="243" customFormat="1" ht="8.1" customHeight="1">
      <c r="A9" s="188"/>
      <c r="B9" s="1327">
        <f>(B8/S8)*100</f>
        <v>14.370680247362678</v>
      </c>
      <c r="C9" s="1327">
        <f>(C8/S8)*100</f>
        <v>3.4357948344852671</v>
      </c>
      <c r="D9" s="1327">
        <f>(D8/S8)*100</f>
        <v>1.4307020734812659</v>
      </c>
      <c r="E9" s="1327">
        <f>(E8/S8)*100</f>
        <v>15.934157875591124</v>
      </c>
      <c r="F9" s="1327">
        <f>(F8/S8)*100</f>
        <v>1.0403783193888687</v>
      </c>
      <c r="G9" s="1327">
        <f>(G8/S8)*100</f>
        <v>6.0954892688250268</v>
      </c>
      <c r="H9" s="1327">
        <f>(H8/S8)*100</f>
        <v>13.272280829392507</v>
      </c>
      <c r="I9" s="1327">
        <f>(I8/S8)*100</f>
        <v>0.74008730447435422</v>
      </c>
      <c r="J9" s="1327">
        <f>(J8/S8)*100</f>
        <v>9.663877773735905</v>
      </c>
      <c r="K9" s="1327">
        <f>(K8/S8)*100</f>
        <v>2.9583484903601307</v>
      </c>
      <c r="L9" s="1327">
        <f>(L8/S8)*100</f>
        <v>7.5185522008002907</v>
      </c>
      <c r="M9" s="1327">
        <f>(M8/S8)*100</f>
        <v>3.1160421971626042</v>
      </c>
      <c r="N9" s="1327">
        <f>(N8/S8)*100</f>
        <v>2.1558748635867588</v>
      </c>
      <c r="O9" s="1327">
        <f>(O8/S8)*100</f>
        <v>1.9012368133866859</v>
      </c>
      <c r="P9" s="1327">
        <f>(P8/S8)*100</f>
        <v>11.557657329938159</v>
      </c>
      <c r="Q9" s="1327">
        <f>(Q8/S8)*100</f>
        <v>95.191160421971617</v>
      </c>
      <c r="R9" s="1327">
        <f>(R8/S8)*100</f>
        <v>4.8088395780283744</v>
      </c>
      <c r="S9" s="1327">
        <f>(S8/S8)*100</f>
        <v>100</v>
      </c>
      <c r="T9" s="1328"/>
      <c r="U9" s="1328"/>
      <c r="V9" s="304"/>
    </row>
    <row r="10" spans="1:24" s="33" customFormat="1" ht="8.1" customHeight="1">
      <c r="A10" s="1329" t="s">
        <v>361</v>
      </c>
      <c r="B10" s="1325">
        <v>89986</v>
      </c>
      <c r="C10" s="1325">
        <v>20635</v>
      </c>
      <c r="D10" s="1325">
        <v>9110</v>
      </c>
      <c r="E10" s="1325">
        <v>101371</v>
      </c>
      <c r="F10" s="1325">
        <v>6441</v>
      </c>
      <c r="G10" s="1325">
        <v>38532</v>
      </c>
      <c r="H10" s="1325">
        <v>86149</v>
      </c>
      <c r="I10" s="1325">
        <v>4826</v>
      </c>
      <c r="J10" s="1325">
        <v>59620</v>
      </c>
      <c r="K10" s="1325">
        <v>18702</v>
      </c>
      <c r="L10" s="1325">
        <v>45118</v>
      </c>
      <c r="M10" s="1325">
        <v>19664</v>
      </c>
      <c r="N10" s="1325">
        <v>14332</v>
      </c>
      <c r="O10" s="1325">
        <v>12164</v>
      </c>
      <c r="P10" s="1325">
        <v>72200</v>
      </c>
      <c r="Q10" s="1326">
        <f>SUM(B10:P10)</f>
        <v>598850</v>
      </c>
      <c r="R10" s="1325">
        <v>29832</v>
      </c>
      <c r="S10" s="1325">
        <f>Q10+R10</f>
        <v>628682</v>
      </c>
      <c r="T10" s="1325">
        <v>48390</v>
      </c>
      <c r="U10" s="1325">
        <f>S10+T10</f>
        <v>677072</v>
      </c>
      <c r="V10" s="1338" t="s">
        <v>361</v>
      </c>
    </row>
    <row r="11" spans="1:24" s="243" customFormat="1" ht="8.1" customHeight="1">
      <c r="A11" s="188"/>
      <c r="B11" s="1327">
        <f>(B10/S10)*100</f>
        <v>14.313436681820061</v>
      </c>
      <c r="C11" s="1327">
        <f>(C10/S10)*100</f>
        <v>3.2822635290973818</v>
      </c>
      <c r="D11" s="1327">
        <f>(D10/S10)*100</f>
        <v>1.4490632784142061</v>
      </c>
      <c r="E11" s="1327">
        <f>(E10/S10)*100</f>
        <v>16.124368122516628</v>
      </c>
      <c r="F11" s="1327">
        <f>(F10/S10)*100</f>
        <v>1.0245243223123932</v>
      </c>
      <c r="G11" s="1327">
        <f>(G10/S10)*100</f>
        <v>6.1290127600281217</v>
      </c>
      <c r="H11" s="1327">
        <f>(H10/S10)*100</f>
        <v>13.703112225258558</v>
      </c>
      <c r="I11" s="1327">
        <f>(I10/S10)*100</f>
        <v>0.76763769282403505</v>
      </c>
      <c r="J11" s="1327">
        <f>(J10/S10)*100</f>
        <v>9.4833317957250252</v>
      </c>
      <c r="K11" s="1327">
        <f>(K10/S10)*100</f>
        <v>2.9747948883537307</v>
      </c>
      <c r="L11" s="1327">
        <f>(L10/S10)*100</f>
        <v>7.1766012069695018</v>
      </c>
      <c r="M11" s="1327">
        <f>(M10/S10)*100</f>
        <v>3.1278134255474148</v>
      </c>
      <c r="N11" s="1327">
        <f>(N10/S10)*100</f>
        <v>2.2796898909146437</v>
      </c>
      <c r="O11" s="1327">
        <f>(O10/S10)*100</f>
        <v>1.9348414619791883</v>
      </c>
      <c r="P11" s="1327">
        <f>(P10/S10)*100</f>
        <v>11.484343435950132</v>
      </c>
      <c r="Q11" s="1327">
        <f>(Q10/S10)*100</f>
        <v>95.25483471771102</v>
      </c>
      <c r="R11" s="1327">
        <f>(R10/S10)*100</f>
        <v>4.7451652822889798</v>
      </c>
      <c r="S11" s="1327">
        <f>(S10/S10)*100</f>
        <v>100</v>
      </c>
      <c r="T11" s="1328"/>
      <c r="U11" s="1328"/>
      <c r="V11" s="304"/>
    </row>
    <row r="12" spans="1:24" s="33" customFormat="1" ht="8.1" customHeight="1">
      <c r="A12" s="1329" t="s">
        <v>85</v>
      </c>
      <c r="B12" s="1325">
        <v>97807</v>
      </c>
      <c r="C12" s="1325">
        <v>22793</v>
      </c>
      <c r="D12" s="1325">
        <v>10963</v>
      </c>
      <c r="E12" s="1325">
        <v>116197</v>
      </c>
      <c r="F12" s="1325">
        <v>7012</v>
      </c>
      <c r="G12" s="1325">
        <v>44180</v>
      </c>
      <c r="H12" s="1325">
        <v>96094</v>
      </c>
      <c r="I12" s="1325">
        <v>5790</v>
      </c>
      <c r="J12" s="1325">
        <v>67185</v>
      </c>
      <c r="K12" s="1325">
        <v>20003</v>
      </c>
      <c r="L12" s="1325">
        <v>49448</v>
      </c>
      <c r="M12" s="1325">
        <v>22464</v>
      </c>
      <c r="N12" s="1325">
        <v>16250</v>
      </c>
      <c r="O12" s="1325">
        <v>13368</v>
      </c>
      <c r="P12" s="1325">
        <v>85366</v>
      </c>
      <c r="Q12" s="1326">
        <f>SUM(B12:P12)</f>
        <v>674920</v>
      </c>
      <c r="R12" s="1325">
        <v>30152</v>
      </c>
      <c r="S12" s="1325">
        <f>Q12+R12</f>
        <v>705072</v>
      </c>
      <c r="T12" s="1325">
        <v>55901</v>
      </c>
      <c r="U12" s="1325">
        <f>S12+T12</f>
        <v>760973</v>
      </c>
      <c r="V12" s="1338" t="s">
        <v>85</v>
      </c>
    </row>
    <row r="13" spans="1:24" s="243" customFormat="1" ht="8.1" customHeight="1">
      <c r="A13" s="188"/>
      <c r="B13" s="1327">
        <f>(B12/S12)*100</f>
        <v>13.871916626954411</v>
      </c>
      <c r="C13" s="1327">
        <f>(C12/S12)*100</f>
        <v>3.2327194953139538</v>
      </c>
      <c r="D13" s="1327">
        <f>(D12/S12)*100</f>
        <v>1.5548766650781765</v>
      </c>
      <c r="E13" s="1327">
        <f>(E12/S12)*100</f>
        <v>16.480160891369959</v>
      </c>
      <c r="F13" s="1327">
        <f>(F12/S12)*100</f>
        <v>0.99450836226654871</v>
      </c>
      <c r="G13" s="1327">
        <f>(G12/S12)*100</f>
        <v>6.266026732021694</v>
      </c>
      <c r="H13" s="1327">
        <f>(H12/S12)*100</f>
        <v>13.628962715864478</v>
      </c>
      <c r="I13" s="1327">
        <f>(I12/S12)*100</f>
        <v>0.82119272925318265</v>
      </c>
      <c r="J13" s="1327">
        <f>(J12/S12)*100</f>
        <v>9.5288140785621902</v>
      </c>
      <c r="K13" s="1327">
        <f>(K12/S12)*100</f>
        <v>2.8370152268137154</v>
      </c>
      <c r="L13" s="1327">
        <f>(L12/S12)*100</f>
        <v>7.0131844691038641</v>
      </c>
      <c r="M13" s="1327">
        <f>(M12/S12)*100</f>
        <v>3.1860575941180476</v>
      </c>
      <c r="N13" s="1327">
        <f>(N12/S12)*100</f>
        <v>2.3047291624117823</v>
      </c>
      <c r="O13" s="1327">
        <f>(O12/S12)*100</f>
        <v>1.8959765811151201</v>
      </c>
      <c r="P13" s="1327">
        <f>(P12/S12)*100</f>
        <v>12.10741598021195</v>
      </c>
      <c r="Q13" s="1327">
        <f>(Q12/S12)*100</f>
        <v>95.723557310459071</v>
      </c>
      <c r="R13" s="1327">
        <f>(R12/S12)*100</f>
        <v>4.276442689540926</v>
      </c>
      <c r="S13" s="1327">
        <f>(S12/S12)*100</f>
        <v>100</v>
      </c>
      <c r="T13" s="1328"/>
      <c r="U13" s="1328"/>
      <c r="V13" s="304"/>
    </row>
    <row r="14" spans="1:24" s="33" customFormat="1" ht="8.1" customHeight="1">
      <c r="A14" s="1330" t="s">
        <v>81</v>
      </c>
      <c r="B14" s="1331">
        <v>110990</v>
      </c>
      <c r="C14" s="1331">
        <v>24601</v>
      </c>
      <c r="D14" s="1331">
        <v>12645</v>
      </c>
      <c r="E14" s="1331">
        <v>128573</v>
      </c>
      <c r="F14" s="1331">
        <v>8346</v>
      </c>
      <c r="G14" s="1331">
        <v>49474</v>
      </c>
      <c r="H14" s="1331">
        <v>106606</v>
      </c>
      <c r="I14" s="1331">
        <v>7028</v>
      </c>
      <c r="J14" s="1331">
        <v>80454</v>
      </c>
      <c r="K14" s="1331">
        <v>23448</v>
      </c>
      <c r="L14" s="1331">
        <v>54432</v>
      </c>
      <c r="M14" s="1331">
        <v>25426</v>
      </c>
      <c r="N14" s="1331">
        <v>18257</v>
      </c>
      <c r="O14" s="1331">
        <v>15326</v>
      </c>
      <c r="P14" s="1331">
        <v>95692</v>
      </c>
      <c r="Q14" s="1326">
        <f>SUM(B14:P14)</f>
        <v>761298</v>
      </c>
      <c r="R14" s="1331">
        <v>36241</v>
      </c>
      <c r="S14" s="1325">
        <f>Q14+R14</f>
        <v>797539</v>
      </c>
      <c r="T14" s="1331">
        <v>64604</v>
      </c>
      <c r="U14" s="1325">
        <f>S14+T14</f>
        <v>862143</v>
      </c>
      <c r="V14" s="1379" t="s">
        <v>81</v>
      </c>
    </row>
    <row r="15" spans="1:24" s="243" customFormat="1" ht="8.1" customHeight="1">
      <c r="A15" s="188"/>
      <c r="B15" s="1327">
        <f>(B14/S14)*100</f>
        <v>13.916560820223211</v>
      </c>
      <c r="C15" s="1327">
        <f>(C14/S14)*100</f>
        <v>3.0846140439527097</v>
      </c>
      <c r="D15" s="1327">
        <f>(D14/S14)*100</f>
        <v>1.5855024017634247</v>
      </c>
      <c r="E15" s="1327">
        <f>(E14/S14)*100</f>
        <v>16.121217896554274</v>
      </c>
      <c r="F15" s="1327">
        <f>(F14/S14)*100</f>
        <v>1.0464692008792047</v>
      </c>
      <c r="G15" s="1327">
        <f>(G14/S14)*100</f>
        <v>6.2033330031509433</v>
      </c>
      <c r="H15" s="1327">
        <f>(H14/S14)*100</f>
        <v>13.366869833324765</v>
      </c>
      <c r="I15" s="1327">
        <f>(I14/S14)*100</f>
        <v>0.8812108247997904</v>
      </c>
      <c r="J15" s="1327">
        <f>(J14/S14)*100</f>
        <v>10.08778254104188</v>
      </c>
      <c r="K15" s="1327">
        <f>(K14/S14)*100</f>
        <v>2.9400443113126755</v>
      </c>
      <c r="L15" s="1327">
        <f>(L14/S14)*100</f>
        <v>6.8249953920748698</v>
      </c>
      <c r="M15" s="1327">
        <f>(M14/S14)*100</f>
        <v>3.1880572611496114</v>
      </c>
      <c r="N15" s="1327">
        <f>(N14/S14)*100</f>
        <v>2.289167050137987</v>
      </c>
      <c r="O15" s="1327">
        <f>(O14/S14)*100</f>
        <v>1.9216615112239026</v>
      </c>
      <c r="P15" s="1327">
        <f>(P14/S14)*100</f>
        <v>11.998410109098113</v>
      </c>
      <c r="Q15" s="1327">
        <f>(Q14/S14)*100</f>
        <v>95.455896200687363</v>
      </c>
      <c r="R15" s="1327">
        <f>(R14/S14)*100</f>
        <v>4.5441037993126354</v>
      </c>
      <c r="S15" s="1327">
        <f>(S14/S14)*100</f>
        <v>100</v>
      </c>
      <c r="T15" s="1328"/>
      <c r="U15" s="1328"/>
      <c r="V15" s="304"/>
    </row>
    <row r="16" spans="1:24" s="33" customFormat="1" ht="8.1" customHeight="1">
      <c r="A16" s="1329" t="s">
        <v>198</v>
      </c>
      <c r="B16" s="1325">
        <v>125469</v>
      </c>
      <c r="C16" s="1325">
        <v>28482</v>
      </c>
      <c r="D16" s="1325">
        <v>14208</v>
      </c>
      <c r="E16" s="1325">
        <v>146503</v>
      </c>
      <c r="F16" s="1325">
        <v>11589</v>
      </c>
      <c r="G16" s="1325">
        <v>57072</v>
      </c>
      <c r="H16" s="1325">
        <v>121332</v>
      </c>
      <c r="I16" s="1325">
        <v>8228</v>
      </c>
      <c r="J16" s="1325">
        <v>94571</v>
      </c>
      <c r="K16" s="1325">
        <v>27545</v>
      </c>
      <c r="L16" s="1325">
        <v>60119</v>
      </c>
      <c r="M16" s="1325">
        <v>30282</v>
      </c>
      <c r="N16" s="1325">
        <v>21392</v>
      </c>
      <c r="O16" s="1325">
        <v>17731</v>
      </c>
      <c r="P16" s="1325">
        <v>104608</v>
      </c>
      <c r="Q16" s="1326">
        <f>SUM(B16:P16)</f>
        <v>869131</v>
      </c>
      <c r="R16" s="1325">
        <v>46698</v>
      </c>
      <c r="S16" s="1325">
        <f>Q16+R16</f>
        <v>915829</v>
      </c>
      <c r="T16" s="1325">
        <v>72513</v>
      </c>
      <c r="U16" s="1325">
        <f>S16+T16</f>
        <v>988342</v>
      </c>
      <c r="V16" s="1338" t="s">
        <v>198</v>
      </c>
    </row>
    <row r="17" spans="1:22" s="243" customFormat="1" ht="8.1" customHeight="1">
      <c r="A17" s="188"/>
      <c r="B17" s="1327">
        <f>(B16/S16)*100</f>
        <v>13.700046624424427</v>
      </c>
      <c r="C17" s="1327">
        <f>(C16/S16)*100</f>
        <v>3.109969219144622</v>
      </c>
      <c r="D17" s="1327">
        <f>(D16/S16)*100</f>
        <v>1.5513813168178776</v>
      </c>
      <c r="E17" s="1327">
        <f>(E16/S16)*100</f>
        <v>15.996763587962381</v>
      </c>
      <c r="F17" s="1327">
        <f>(F16/S16)*100</f>
        <v>1.2654109009432983</v>
      </c>
      <c r="G17" s="1327">
        <f>(G16/S16)*100</f>
        <v>6.2317310327582991</v>
      </c>
      <c r="H17" s="1327">
        <f>(H16/S16)*100</f>
        <v>13.248324741845913</v>
      </c>
      <c r="I17" s="1327">
        <f>(I16/S16)*100</f>
        <v>0.89842099343873139</v>
      </c>
      <c r="J17" s="1327">
        <f>(J16/S16)*100</f>
        <v>10.326272699379469</v>
      </c>
      <c r="K17" s="1327">
        <f>(K16/S16)*100</f>
        <v>3.0076575430566188</v>
      </c>
      <c r="L17" s="1327">
        <f>(L16/S16)*100</f>
        <v>6.5644350637509845</v>
      </c>
      <c r="M17" s="1327">
        <f>(M16/S16)*100</f>
        <v>3.3065124602955356</v>
      </c>
      <c r="N17" s="1327">
        <f>(N16/S16)*100</f>
        <v>2.3358072303890793</v>
      </c>
      <c r="O17" s="1327">
        <f>(O16/S16)*100</f>
        <v>1.9360601160260269</v>
      </c>
      <c r="P17" s="1327">
        <f>(P16/S16)*100</f>
        <v>11.422219650174869</v>
      </c>
      <c r="Q17" s="1327">
        <f>(Q16/S16)*100</f>
        <v>94.901013180408128</v>
      </c>
      <c r="R17" s="1327">
        <f>(R16/S16)*100</f>
        <v>5.0989868195918673</v>
      </c>
      <c r="S17" s="1327">
        <f>(S16/S16)*100</f>
        <v>100</v>
      </c>
      <c r="T17" s="1328"/>
      <c r="U17" s="1328"/>
      <c r="V17" s="304"/>
    </row>
    <row r="18" spans="1:22" s="33" customFormat="1" ht="8.1" customHeight="1">
      <c r="A18" s="1329" t="s">
        <v>789</v>
      </c>
      <c r="B18" s="1325">
        <v>138879</v>
      </c>
      <c r="C18" s="1325">
        <v>31827</v>
      </c>
      <c r="D18" s="1325">
        <v>16650</v>
      </c>
      <c r="E18" s="1325">
        <v>167928</v>
      </c>
      <c r="F18" s="1325">
        <v>14189</v>
      </c>
      <c r="G18" s="1325">
        <v>68305</v>
      </c>
      <c r="H18" s="1325">
        <v>137396</v>
      </c>
      <c r="I18" s="1325">
        <v>9755</v>
      </c>
      <c r="J18" s="1325">
        <v>112702</v>
      </c>
      <c r="K18" s="1325">
        <v>36316</v>
      </c>
      <c r="L18" s="1325">
        <v>68715</v>
      </c>
      <c r="M18" s="1325">
        <v>33499</v>
      </c>
      <c r="N18" s="1325">
        <v>25048</v>
      </c>
      <c r="O18" s="1325">
        <v>20133</v>
      </c>
      <c r="P18" s="1325">
        <v>117293</v>
      </c>
      <c r="Q18" s="1326">
        <f>SUM(B18:P18)</f>
        <v>998635</v>
      </c>
      <c r="R18" s="1325">
        <v>56569</v>
      </c>
      <c r="S18" s="1325">
        <f>Q18+R18</f>
        <v>1055204</v>
      </c>
      <c r="T18" s="1325">
        <v>89302</v>
      </c>
      <c r="U18" s="1325">
        <f>S18+T18</f>
        <v>1144506</v>
      </c>
      <c r="V18" s="1338" t="s">
        <v>789</v>
      </c>
    </row>
    <row r="19" spans="1:22" s="243" customFormat="1" ht="8.1" customHeight="1">
      <c r="A19" s="188"/>
      <c r="B19" s="1327">
        <f>(B18/S18)*100</f>
        <v>13.161341314096612</v>
      </c>
      <c r="C19" s="1327">
        <f>(C18/S18)*100</f>
        <v>3.0161940250416035</v>
      </c>
      <c r="D19" s="1327">
        <f>(D18/S18)*100</f>
        <v>1.5778939427826277</v>
      </c>
      <c r="E19" s="1327">
        <f>(E18/S18)*100</f>
        <v>15.914268710126194</v>
      </c>
      <c r="F19" s="1327">
        <f>(F18/S18)*100</f>
        <v>1.344668898146709</v>
      </c>
      <c r="G19" s="1327">
        <f>(G18/S18)*100</f>
        <v>6.473155901607651</v>
      </c>
      <c r="H19" s="1327">
        <f>(H18/S18)*100</f>
        <v>13.02079976952324</v>
      </c>
      <c r="I19" s="1327">
        <f>(I18/S18)*100</f>
        <v>0.92446579050117317</v>
      </c>
      <c r="J19" s="1327">
        <f>(J18/S18)*100</f>
        <v>10.68058877714641</v>
      </c>
      <c r="K19" s="1327">
        <f>(K18/S18)*100</f>
        <v>3.441609394960595</v>
      </c>
      <c r="L19" s="1327">
        <f>(L18/S18)*100</f>
        <v>6.5120109476461421</v>
      </c>
      <c r="M19" s="1327">
        <f>(M18/S18)*100</f>
        <v>3.17464679815467</v>
      </c>
      <c r="N19" s="1327">
        <f>(N18/S18)*100</f>
        <v>2.3737590077368926</v>
      </c>
      <c r="O19" s="1327">
        <f>(O18/S18)*100</f>
        <v>1.9079722972998585</v>
      </c>
      <c r="P19" s="1327">
        <f>(P18/S18)*100</f>
        <v>11.115670524372538</v>
      </c>
      <c r="Q19" s="1327">
        <f>(Q18/S18)*100</f>
        <v>94.639046099142917</v>
      </c>
      <c r="R19" s="1327">
        <f>(R18/S18)*100</f>
        <v>5.3609539008570861</v>
      </c>
      <c r="S19" s="1327">
        <f>(S18/S18)*100</f>
        <v>100</v>
      </c>
      <c r="T19" s="1328"/>
      <c r="U19" s="1328"/>
      <c r="V19" s="304"/>
    </row>
    <row r="20" spans="1:22" s="33" customFormat="1" ht="8.1" customHeight="1">
      <c r="A20" s="1329" t="s">
        <v>905</v>
      </c>
      <c r="B20" s="1325">
        <v>148758</v>
      </c>
      <c r="C20" s="1325">
        <v>36995</v>
      </c>
      <c r="D20" s="1325">
        <v>19461</v>
      </c>
      <c r="E20" s="1325">
        <v>197127</v>
      </c>
      <c r="F20" s="1325">
        <v>16381</v>
      </c>
      <c r="G20" s="1325">
        <v>82432</v>
      </c>
      <c r="H20" s="1325">
        <v>154579</v>
      </c>
      <c r="I20" s="1325">
        <v>11263</v>
      </c>
      <c r="J20" s="1325">
        <v>124281</v>
      </c>
      <c r="K20" s="1325">
        <v>42237</v>
      </c>
      <c r="L20" s="1325">
        <v>78820</v>
      </c>
      <c r="M20" s="1325">
        <v>37678</v>
      </c>
      <c r="N20" s="1325">
        <v>28429</v>
      </c>
      <c r="O20" s="1325">
        <v>23868</v>
      </c>
      <c r="P20" s="1325">
        <v>138952</v>
      </c>
      <c r="Q20" s="1326">
        <f>SUM(B20:P20)</f>
        <v>1141261</v>
      </c>
      <c r="R20" s="1325">
        <v>57662</v>
      </c>
      <c r="S20" s="1325">
        <f>Q20+R20</f>
        <v>1198923</v>
      </c>
      <c r="T20" s="1325">
        <v>96429</v>
      </c>
      <c r="U20" s="1325">
        <f>S20+T20</f>
        <v>1295352</v>
      </c>
      <c r="V20" s="1338" t="s">
        <v>905</v>
      </c>
    </row>
    <row r="21" spans="1:22" s="243" customFormat="1" ht="8.1" customHeight="1">
      <c r="A21" s="188"/>
      <c r="B21" s="1327">
        <f>(B20/S20)*100</f>
        <v>12.407635853178228</v>
      </c>
      <c r="C21" s="1327">
        <f>(C20/S20)*100</f>
        <v>3.0856860699144151</v>
      </c>
      <c r="D21" s="1327">
        <f>(D20/S20)*100</f>
        <v>1.623206828128245</v>
      </c>
      <c r="E21" s="1327">
        <f>(E20/S20)*100</f>
        <v>16.442006701014162</v>
      </c>
      <c r="F21" s="1327">
        <f>(F20/S20)*100</f>
        <v>1.3663095961959191</v>
      </c>
      <c r="G21" s="1327">
        <f>(G20/S20)*100</f>
        <v>6.8755040982615228</v>
      </c>
      <c r="H21" s="1327">
        <f>(H20/S20)*100</f>
        <v>12.893154939891888</v>
      </c>
      <c r="I21" s="1327">
        <f>(I20/S20)*100</f>
        <v>0.93942646858889178</v>
      </c>
      <c r="J21" s="1327">
        <f>(J20/S20)*100</f>
        <v>10.366053533045909</v>
      </c>
      <c r="K21" s="1327">
        <f>(K20/S20)*100</f>
        <v>3.5229118133524842</v>
      </c>
      <c r="L21" s="1327">
        <f>(L20/S20)*100</f>
        <v>6.5742337080863411</v>
      </c>
      <c r="M21" s="1327">
        <f>(M20/S20)*100</f>
        <v>3.1426538651773299</v>
      </c>
      <c r="N21" s="1327">
        <f>(N20/S20)*100</f>
        <v>2.3712114956506798</v>
      </c>
      <c r="O21" s="1327">
        <f>(O20/S20)*100</f>
        <v>1.9907867310911542</v>
      </c>
      <c r="P21" s="1327">
        <f>(P20/S20)*100</f>
        <v>11.589735120604075</v>
      </c>
      <c r="Q21" s="1327">
        <f>(Q20/S20)*100</f>
        <v>95.190516822181237</v>
      </c>
      <c r="R21" s="1327">
        <f>(R20/S20)*100</f>
        <v>4.809483177818759</v>
      </c>
      <c r="S21" s="1327">
        <f>(S20/S20)*100</f>
        <v>100</v>
      </c>
      <c r="T21" s="1328"/>
      <c r="U21" s="1328"/>
      <c r="V21" s="304"/>
    </row>
    <row r="22" spans="1:22" s="33" customFormat="1" ht="8.1" customHeight="1">
      <c r="A22" s="1332" t="s">
        <v>1104</v>
      </c>
      <c r="B22" s="1325">
        <v>163968</v>
      </c>
      <c r="C22" s="1325">
        <v>42308</v>
      </c>
      <c r="D22" s="1325">
        <v>21080</v>
      </c>
      <c r="E22" s="1325">
        <v>223221</v>
      </c>
      <c r="F22" s="1325">
        <v>18401</v>
      </c>
      <c r="G22" s="1325">
        <v>90834</v>
      </c>
      <c r="H22" s="1325">
        <v>172575</v>
      </c>
      <c r="I22" s="1325">
        <v>13035</v>
      </c>
      <c r="J22" s="1325">
        <v>134317</v>
      </c>
      <c r="K22" s="1325">
        <v>48563</v>
      </c>
      <c r="L22" s="1325">
        <v>91229</v>
      </c>
      <c r="M22" s="1325">
        <v>44728</v>
      </c>
      <c r="N22" s="1325">
        <v>32767</v>
      </c>
      <c r="O22" s="1325">
        <v>26924</v>
      </c>
      <c r="P22" s="1325">
        <v>156551</v>
      </c>
      <c r="Q22" s="1326">
        <f>SUM(B22:P22)</f>
        <v>1280501</v>
      </c>
      <c r="R22" s="1325">
        <v>63173</v>
      </c>
      <c r="S22" s="1325">
        <f>Q22+R22</f>
        <v>1343674</v>
      </c>
      <c r="T22" s="1325">
        <v>89549</v>
      </c>
      <c r="U22" s="1325">
        <f>S22+T22</f>
        <v>1433223</v>
      </c>
      <c r="V22" s="1338" t="s">
        <v>1104</v>
      </c>
    </row>
    <row r="23" spans="1:22" s="243" customFormat="1" ht="8.1" customHeight="1">
      <c r="A23" s="188"/>
      <c r="B23" s="1327">
        <f>(B22/S22)*100</f>
        <v>12.20295994415312</v>
      </c>
      <c r="C23" s="1327">
        <f>(C22/S22)*100</f>
        <v>3.1486804090873233</v>
      </c>
      <c r="D23" s="1327">
        <f>(D22/S22)*100</f>
        <v>1.5688329163174994</v>
      </c>
      <c r="E23" s="1327">
        <f>(E22/S22)*100</f>
        <v>16.612734934217674</v>
      </c>
      <c r="F23" s="1327">
        <f>(F22/S22)*100</f>
        <v>1.3694541979676618</v>
      </c>
      <c r="G23" s="1327">
        <f>(G22/S22)*100</f>
        <v>6.7601218747999887</v>
      </c>
      <c r="H23" s="1327">
        <f>(H22/S22)*100</f>
        <v>12.843517103106855</v>
      </c>
      <c r="I23" s="1327">
        <f>(I22/S22)*100</f>
        <v>0.9701013787570496</v>
      </c>
      <c r="J23" s="1327">
        <f>(J22/S22)*100</f>
        <v>9.9962490901811005</v>
      </c>
      <c r="K23" s="1327">
        <f>(K22/S22)*100</f>
        <v>3.6141951098257463</v>
      </c>
      <c r="L23" s="1327">
        <f>(L22/S22)*100</f>
        <v>6.7895188862774747</v>
      </c>
      <c r="M23" s="1327">
        <f>(M22/S22)*100</f>
        <v>3.3287836186455944</v>
      </c>
      <c r="N23" s="1327">
        <f>(N22/S22)*100</f>
        <v>2.4386123419817602</v>
      </c>
      <c r="O23" s="1327">
        <f>(O22/S22)*100</f>
        <v>2.0037598405565635</v>
      </c>
      <c r="P23" s="1327">
        <f>(P22/S22)*100</f>
        <v>11.650965933701181</v>
      </c>
      <c r="Q23" s="1327">
        <f>(Q22/S22)*100</f>
        <v>95.298487579576602</v>
      </c>
      <c r="R23" s="1327">
        <f>(R22/S22)*100</f>
        <v>4.7015124204234064</v>
      </c>
      <c r="S23" s="1327">
        <f>(S22/S22)*100</f>
        <v>100</v>
      </c>
      <c r="T23" s="1328"/>
      <c r="U23" s="1328"/>
      <c r="V23" s="304"/>
    </row>
    <row r="24" spans="1:22" s="243" customFormat="1" ht="8.1" customHeight="1">
      <c r="A24" s="1333" t="s">
        <v>1163</v>
      </c>
      <c r="B24" s="1325">
        <v>176500</v>
      </c>
      <c r="C24" s="1325">
        <v>47581</v>
      </c>
      <c r="D24" s="1325">
        <v>23876</v>
      </c>
      <c r="E24" s="1325">
        <v>254483</v>
      </c>
      <c r="F24" s="1325">
        <v>19868</v>
      </c>
      <c r="G24" s="1325">
        <v>108484</v>
      </c>
      <c r="H24" s="1325">
        <v>192585</v>
      </c>
      <c r="I24" s="1325">
        <v>14928</v>
      </c>
      <c r="J24" s="1325">
        <v>150025</v>
      </c>
      <c r="K24" s="1325">
        <v>55761</v>
      </c>
      <c r="L24" s="1325">
        <v>106061</v>
      </c>
      <c r="M24" s="1325">
        <v>50674</v>
      </c>
      <c r="N24" s="1325">
        <v>37624</v>
      </c>
      <c r="O24" s="1325">
        <v>30135</v>
      </c>
      <c r="P24" s="1325">
        <v>176402</v>
      </c>
      <c r="Q24" s="1326">
        <f>SUM(B24:P24)</f>
        <v>1444987</v>
      </c>
      <c r="R24" s="1325">
        <v>70815</v>
      </c>
      <c r="S24" s="1325">
        <f>Q24+R24</f>
        <v>1515802</v>
      </c>
      <c r="T24" s="1325">
        <v>98402</v>
      </c>
      <c r="U24" s="1325">
        <f>S24+T24</f>
        <v>1614204</v>
      </c>
      <c r="V24" s="1380" t="s">
        <v>1163</v>
      </c>
    </row>
    <row r="25" spans="1:22" s="188" customFormat="1" ht="8.1" customHeight="1">
      <c r="B25" s="1327">
        <f>(B24/S24)*100</f>
        <v>11.644000997491757</v>
      </c>
      <c r="C25" s="1327">
        <f>(C24/S24)*100</f>
        <v>3.1389983652218429</v>
      </c>
      <c r="D25" s="1327">
        <f>(D24/S24)*100</f>
        <v>1.5751397609978086</v>
      </c>
      <c r="E25" s="1327">
        <f>(E24/S24)*100</f>
        <v>16.788670288071923</v>
      </c>
      <c r="F25" s="1327">
        <f>(F24/S24)*100</f>
        <v>1.3107252794230382</v>
      </c>
      <c r="G25" s="1327">
        <f>(G24/S24)*100</f>
        <v>7.1568714119654153</v>
      </c>
      <c r="H25" s="1327">
        <f>(H24/S24)*100</f>
        <v>12.705155422673938</v>
      </c>
      <c r="I25" s="1327">
        <f>(I24/S24)*100</f>
        <v>0.9848251948473481</v>
      </c>
      <c r="J25" s="1327">
        <f>(J24/S24)*100</f>
        <v>9.8974008478679938</v>
      </c>
      <c r="K25" s="1327">
        <f>(K24/S24)*100</f>
        <v>3.6786466834058804</v>
      </c>
      <c r="L25" s="1327">
        <f>(L24/S24)*100</f>
        <v>6.9970220384984323</v>
      </c>
      <c r="M25" s="1327">
        <f>(M24/S24)*100</f>
        <v>3.3430487623053673</v>
      </c>
      <c r="N25" s="1327">
        <f>(N24/S24)*100</f>
        <v>2.4821183769384128</v>
      </c>
      <c r="O25" s="1327">
        <f>(O24/S24)*100</f>
        <v>1.9880564875887483</v>
      </c>
      <c r="P25" s="1327">
        <f>(P24/S24)*100</f>
        <v>11.637535773141874</v>
      </c>
      <c r="Q25" s="1327">
        <f>(Q24/S24)*100</f>
        <v>95.328215690439777</v>
      </c>
      <c r="R25" s="1327">
        <f>(R24/S24)*100</f>
        <v>4.6717843095602198</v>
      </c>
      <c r="S25" s="1327">
        <f>(S24/S24)*100</f>
        <v>100</v>
      </c>
      <c r="T25" s="1328"/>
      <c r="U25" s="1328"/>
      <c r="V25" s="304"/>
    </row>
    <row r="26" spans="1:22" s="68" customFormat="1" ht="8.1" customHeight="1">
      <c r="A26" s="1333" t="s">
        <v>1295</v>
      </c>
      <c r="B26" s="1325">
        <v>190315</v>
      </c>
      <c r="C26" s="1325">
        <v>53076</v>
      </c>
      <c r="D26" s="1325">
        <v>28578</v>
      </c>
      <c r="E26" s="1325">
        <v>295111</v>
      </c>
      <c r="F26" s="1325">
        <v>23829</v>
      </c>
      <c r="G26" s="1325">
        <v>126353</v>
      </c>
      <c r="H26" s="1325">
        <v>214257</v>
      </c>
      <c r="I26" s="1325">
        <v>17058</v>
      </c>
      <c r="J26" s="1325">
        <v>169165</v>
      </c>
      <c r="K26" s="1325">
        <v>63601</v>
      </c>
      <c r="L26" s="1325">
        <v>123740</v>
      </c>
      <c r="M26" s="1325">
        <v>66711</v>
      </c>
      <c r="N26" s="1325">
        <v>46512</v>
      </c>
      <c r="O26" s="1325">
        <v>34758</v>
      </c>
      <c r="P26" s="1325">
        <v>194248</v>
      </c>
      <c r="Q26" s="1326">
        <f>SUM(B26:P26)</f>
        <v>1647312</v>
      </c>
      <c r="R26" s="1325">
        <v>85552</v>
      </c>
      <c r="S26" s="1325">
        <f>Q26+R26</f>
        <v>1732864</v>
      </c>
      <c r="T26" s="1325">
        <v>99811</v>
      </c>
      <c r="U26" s="1325">
        <f>S26+T26</f>
        <v>1832675</v>
      </c>
      <c r="V26" s="1380" t="s">
        <v>1295</v>
      </c>
    </row>
    <row r="27" spans="1:22" s="188" customFormat="1" ht="8.1" customHeight="1">
      <c r="B27" s="1327">
        <f>(B26/S26)*100</f>
        <v>10.982685311715173</v>
      </c>
      <c r="C27" s="1327">
        <f>(C26/S26)*100</f>
        <v>3.0629062638499041</v>
      </c>
      <c r="D27" s="1327">
        <f>(D26/S26)*100</f>
        <v>1.6491773157039444</v>
      </c>
      <c r="E27" s="1327">
        <f>(E26/S26)*100</f>
        <v>17.030245881961886</v>
      </c>
      <c r="F27" s="1327">
        <f>(F26/S26)*100</f>
        <v>1.375122340818437</v>
      </c>
      <c r="G27" s="1327">
        <f>(G26/S26)*100</f>
        <v>7.2915704867779585</v>
      </c>
      <c r="H27" s="1327">
        <f>(H26/S26)*100</f>
        <v>12.364328648988034</v>
      </c>
      <c r="I27" s="1327">
        <f>(I26/S26)*100</f>
        <v>0.98438192495198706</v>
      </c>
      <c r="J27" s="1327">
        <f>(J26/S26)*100</f>
        <v>9.7621625240065004</v>
      </c>
      <c r="K27" s="1327">
        <f>(K26/S26)*100</f>
        <v>3.6702822610429906</v>
      </c>
      <c r="L27" s="1327">
        <f>(L26/S26)*100</f>
        <v>7.1407796572610422</v>
      </c>
      <c r="M27" s="1327">
        <f>(M26/S26)*100</f>
        <v>3.8497539333727286</v>
      </c>
      <c r="N27" s="1327">
        <f>(N26/S26)*100</f>
        <v>2.6841113901610281</v>
      </c>
      <c r="O27" s="1327">
        <f>(O26/S26)*100</f>
        <v>2.0058123430344215</v>
      </c>
      <c r="P27" s="1327">
        <f>(P26/S26)*100</f>
        <v>11.209650613089082</v>
      </c>
      <c r="Q27" s="1327">
        <f>(Q26/S26)*100</f>
        <v>95.062970896735109</v>
      </c>
      <c r="R27" s="1327">
        <f>(R26/S26)*100</f>
        <v>4.9370291032648836</v>
      </c>
      <c r="S27" s="1327">
        <f>(S26/S26)*100</f>
        <v>100</v>
      </c>
      <c r="T27" s="1328"/>
      <c r="U27" s="1328"/>
      <c r="V27" s="304"/>
    </row>
    <row r="28" spans="1:22" s="68" customFormat="1" ht="8.1" customHeight="1">
      <c r="A28" s="1329" t="s">
        <v>1328</v>
      </c>
      <c r="B28" s="1325">
        <v>205398</v>
      </c>
      <c r="C28" s="1325">
        <v>59627</v>
      </c>
      <c r="D28" s="1325">
        <v>34127</v>
      </c>
      <c r="E28" s="1325">
        <v>341829</v>
      </c>
      <c r="F28" s="1325">
        <v>26244</v>
      </c>
      <c r="G28" s="1325">
        <v>146107</v>
      </c>
      <c r="H28" s="1325">
        <v>243958</v>
      </c>
      <c r="I28" s="1325">
        <v>19318</v>
      </c>
      <c r="J28" s="1325">
        <v>187076</v>
      </c>
      <c r="K28" s="1325">
        <v>73205</v>
      </c>
      <c r="L28" s="1325">
        <v>144539</v>
      </c>
      <c r="M28" s="1325">
        <v>78441</v>
      </c>
      <c r="N28" s="1325">
        <v>56856</v>
      </c>
      <c r="O28" s="1325">
        <v>38987</v>
      </c>
      <c r="P28" s="1325">
        <v>214213</v>
      </c>
      <c r="Q28" s="1326">
        <f>SUM(B28:P28)</f>
        <v>1869925</v>
      </c>
      <c r="R28" s="1325">
        <v>105892</v>
      </c>
      <c r="S28" s="1325">
        <f>Q28+R28</f>
        <v>1975817</v>
      </c>
      <c r="T28" s="1325">
        <v>84901</v>
      </c>
      <c r="U28" s="1325">
        <f>S28+T28</f>
        <v>2060718</v>
      </c>
      <c r="V28" s="1338" t="s">
        <v>1328</v>
      </c>
    </row>
    <row r="29" spans="1:22" s="188" customFormat="1" ht="8.1" customHeight="1">
      <c r="B29" s="1327">
        <f>(B28/S28)*100</f>
        <v>10.395598377784987</v>
      </c>
      <c r="C29" s="1327">
        <f>(C28/S28)*100</f>
        <v>3.017840214959179</v>
      </c>
      <c r="D29" s="1327">
        <f>(D28/S28)*100</f>
        <v>1.7272348603134806</v>
      </c>
      <c r="E29" s="1327">
        <f>(E28/S28)*100</f>
        <v>17.300640696987628</v>
      </c>
      <c r="F29" s="1327">
        <f>(F28/S28)*100</f>
        <v>1.3282606638165377</v>
      </c>
      <c r="G29" s="1327">
        <f>(G28/S28)*100</f>
        <v>7.3947637863223159</v>
      </c>
      <c r="H29" s="1327">
        <f>(H28/S28)*100</f>
        <v>12.34719612190805</v>
      </c>
      <c r="I29" s="1327">
        <f>(I28/S28)*100</f>
        <v>0.97772212709982753</v>
      </c>
      <c r="J29" s="1327">
        <f>(J28/S28)*100</f>
        <v>9.4682857774783802</v>
      </c>
      <c r="K29" s="1327">
        <f>(K28/S28)*100</f>
        <v>3.7050496073269943</v>
      </c>
      <c r="L29" s="1327">
        <f>(L28/S28)*100</f>
        <v>7.315404210005279</v>
      </c>
      <c r="M29" s="1327">
        <f>(M28/S28)*100</f>
        <v>3.9700539068142442</v>
      </c>
      <c r="N29" s="1327">
        <f>(N28/S28)*100</f>
        <v>2.8775944330876797</v>
      </c>
      <c r="O29" s="1327">
        <f>(O28/S28)*100</f>
        <v>1.9732090573165428</v>
      </c>
      <c r="P29" s="1327">
        <f>(P28/S28)*100</f>
        <v>10.841742934694864</v>
      </c>
      <c r="Q29" s="1327">
        <f>(Q28/S28)*100</f>
        <v>94.640596775915981</v>
      </c>
      <c r="R29" s="1327">
        <f>(R28/S28)*100</f>
        <v>5.3594032240840122</v>
      </c>
      <c r="S29" s="1327">
        <f>(S28/S28)*100</f>
        <v>100</v>
      </c>
      <c r="T29" s="1328"/>
      <c r="U29" s="1328"/>
      <c r="V29" s="304"/>
    </row>
    <row r="30" spans="1:22" s="68" customFormat="1" ht="8.1" customHeight="1">
      <c r="A30" s="1329" t="s">
        <v>1467</v>
      </c>
      <c r="B30" s="1325">
        <v>227353</v>
      </c>
      <c r="C30" s="1325">
        <v>66882</v>
      </c>
      <c r="D30" s="1325">
        <v>38884</v>
      </c>
      <c r="E30" s="1325">
        <v>404144</v>
      </c>
      <c r="F30" s="1325">
        <v>29336</v>
      </c>
      <c r="G30" s="1325">
        <v>169855</v>
      </c>
      <c r="H30" s="1325">
        <v>279823</v>
      </c>
      <c r="I30" s="1325">
        <v>22123</v>
      </c>
      <c r="J30" s="1325">
        <v>204630</v>
      </c>
      <c r="K30" s="1325">
        <v>83728</v>
      </c>
      <c r="L30" s="1325">
        <v>166419</v>
      </c>
      <c r="M30" s="1331">
        <v>90228</v>
      </c>
      <c r="N30" s="1325">
        <v>64478</v>
      </c>
      <c r="O30" s="1325">
        <v>44064</v>
      </c>
      <c r="P30" s="1325">
        <v>236378</v>
      </c>
      <c r="Q30" s="1326">
        <f>SUM(B30:P30)</f>
        <v>2128325</v>
      </c>
      <c r="R30" s="1325">
        <v>122156</v>
      </c>
      <c r="S30" s="1325">
        <f>Q30+R30</f>
        <v>2250481</v>
      </c>
      <c r="T30" s="1325">
        <v>102628</v>
      </c>
      <c r="U30" s="1325">
        <f>S30+T30</f>
        <v>2353109</v>
      </c>
      <c r="V30" s="1338" t="s">
        <v>1467</v>
      </c>
    </row>
    <row r="31" spans="1:22" s="188" customFormat="1" ht="8.1" customHeight="1">
      <c r="B31" s="1327">
        <f>(B30/S30)*100</f>
        <v>10.102418105285048</v>
      </c>
      <c r="C31" s="1327">
        <f>(C30/S30)*100</f>
        <v>2.97189800758149</v>
      </c>
      <c r="D31" s="1327">
        <f>(D30/S30)*100</f>
        <v>1.7278084107353049</v>
      </c>
      <c r="E31" s="1327">
        <f>(E30/S30)*100</f>
        <v>17.958116509315118</v>
      </c>
      <c r="F31" s="1327">
        <f>(F30/S30)*100</f>
        <v>1.3035435535781019</v>
      </c>
      <c r="G31" s="1327">
        <f>(G30/S30)*100</f>
        <v>7.5474976238413038</v>
      </c>
      <c r="H31" s="1327">
        <f>(H30/S30)*100</f>
        <v>12.433919682059081</v>
      </c>
      <c r="I31" s="1327">
        <f>(I30/S30)*100</f>
        <v>0.98303429355768834</v>
      </c>
      <c r="J31" s="1327">
        <f>(J30/S30)*100</f>
        <v>9.0927228445830028</v>
      </c>
      <c r="K31" s="1327">
        <f>(K30/S30)*100</f>
        <v>3.7204490951045575</v>
      </c>
      <c r="L31" s="1327">
        <f>(L30/S30)*100</f>
        <v>7.3948191519946178</v>
      </c>
      <c r="M31" s="1327">
        <f>(M30/S30)*100</f>
        <v>4.0092762391684262</v>
      </c>
      <c r="N31" s="1327">
        <f>(N30/S30)*100</f>
        <v>2.8650763992230996</v>
      </c>
      <c r="O31" s="1327">
        <f>(O30/S30)*100</f>
        <v>1.9579814270815885</v>
      </c>
      <c r="P31" s="1327">
        <f>(P30/S30)*100</f>
        <v>10.503443486081419</v>
      </c>
      <c r="Q31" s="1327">
        <f>(Q30/S30)*100</f>
        <v>94.572004829189851</v>
      </c>
      <c r="R31" s="1327">
        <f>(R30/S30)*100</f>
        <v>5.427995170810151</v>
      </c>
      <c r="S31" s="1327">
        <f>(S30/S30)*100</f>
        <v>100</v>
      </c>
      <c r="T31" s="1328"/>
      <c r="U31" s="1328"/>
      <c r="V31" s="304"/>
    </row>
    <row r="32" spans="1:22" s="68" customFormat="1" ht="8.1" customHeight="1">
      <c r="A32" s="1329" t="s">
        <v>1596</v>
      </c>
      <c r="B32" s="1325">
        <v>248119</v>
      </c>
      <c r="C32" s="1325">
        <v>74275</v>
      </c>
      <c r="D32" s="1325">
        <v>43964</v>
      </c>
      <c r="E32" s="1325">
        <v>481359</v>
      </c>
      <c r="F32" s="1325">
        <v>32087</v>
      </c>
      <c r="G32" s="1325">
        <v>196403</v>
      </c>
      <c r="H32" s="1325">
        <v>322722</v>
      </c>
      <c r="I32" s="1325">
        <v>25234</v>
      </c>
      <c r="J32" s="1325">
        <v>226025</v>
      </c>
      <c r="K32" s="1325">
        <v>94202</v>
      </c>
      <c r="L32" s="1325">
        <v>190487</v>
      </c>
      <c r="M32" s="1325">
        <v>98957</v>
      </c>
      <c r="N32" s="1325">
        <v>73091</v>
      </c>
      <c r="O32" s="1325">
        <v>52006</v>
      </c>
      <c r="P32" s="1325">
        <v>260961</v>
      </c>
      <c r="Q32" s="1326">
        <f>SUM(B32:P32)</f>
        <v>2419892</v>
      </c>
      <c r="R32" s="1325">
        <v>122592</v>
      </c>
      <c r="S32" s="1325">
        <f>Q32+R32</f>
        <v>2542484</v>
      </c>
      <c r="T32" s="1325">
        <v>113610</v>
      </c>
      <c r="U32" s="1325">
        <f>S32+T32</f>
        <v>2656094</v>
      </c>
      <c r="V32" s="1338" t="s">
        <v>1596</v>
      </c>
    </row>
    <row r="33" spans="1:22" s="188" customFormat="1" ht="8.1" customHeight="1">
      <c r="B33" s="1327">
        <f>(B32/S32)*100</f>
        <v>9.7589208034347514</v>
      </c>
      <c r="C33" s="1327">
        <f>(C32/S32)*100</f>
        <v>2.921355650615697</v>
      </c>
      <c r="D33" s="1327">
        <f>(D32/S32)*100</f>
        <v>1.7291750901873915</v>
      </c>
      <c r="E33" s="1327">
        <f>(E32/S32)*100</f>
        <v>18.932626518003655</v>
      </c>
      <c r="F33" s="1327">
        <f>(F32/S32)*100</f>
        <v>1.2620335073888371</v>
      </c>
      <c r="G33" s="1327">
        <f>(G32/S32)*100</f>
        <v>7.724847039352067</v>
      </c>
      <c r="H33" s="1327">
        <f>(H32/S32)*100</f>
        <v>12.69317722353415</v>
      </c>
      <c r="I33" s="1327">
        <f>(I32/S32)*100</f>
        <v>0.9924939547308852</v>
      </c>
      <c r="J33" s="1327">
        <f>(J32/S32)*100</f>
        <v>8.8899281175417428</v>
      </c>
      <c r="K33" s="1327">
        <f>(K32/S32)*100</f>
        <v>3.7051167283648585</v>
      </c>
      <c r="L33" s="1327">
        <f>(L32/S32)*100</f>
        <v>7.4921612092740801</v>
      </c>
      <c r="M33" s="1327">
        <f>(M32/S32)*100</f>
        <v>3.892138554264255</v>
      </c>
      <c r="N33" s="1327">
        <f>(N32/S32)*100</f>
        <v>2.874787019308676</v>
      </c>
      <c r="O33" s="1327">
        <f>(O32/S32)*100</f>
        <v>2.045479932223762</v>
      </c>
      <c r="P33" s="1327">
        <f>(P32/S32)*100</f>
        <v>10.264017394013099</v>
      </c>
      <c r="Q33" s="1327">
        <f>(Q32/S32)*100</f>
        <v>95.178258742237915</v>
      </c>
      <c r="R33" s="1327">
        <f>(R32/S32)*100</f>
        <v>4.8217412577620937</v>
      </c>
      <c r="S33" s="1327">
        <f>(S32/S32)*100</f>
        <v>100</v>
      </c>
      <c r="T33" s="1328"/>
      <c r="U33" s="1328"/>
      <c r="V33" s="304"/>
    </row>
    <row r="34" spans="1:22" s="243" customFormat="1" ht="8.1" customHeight="1">
      <c r="A34" s="1324" t="s">
        <v>1691</v>
      </c>
      <c r="B34" s="1325">
        <v>270751</v>
      </c>
      <c r="C34" s="1325">
        <v>83091</v>
      </c>
      <c r="D34" s="1325">
        <v>46548</v>
      </c>
      <c r="E34" s="1325">
        <v>507100</v>
      </c>
      <c r="F34" s="1325">
        <v>33010</v>
      </c>
      <c r="G34" s="1325">
        <v>222537</v>
      </c>
      <c r="H34" s="1325">
        <v>349066</v>
      </c>
      <c r="I34" s="1325">
        <v>27262</v>
      </c>
      <c r="J34" s="1325">
        <v>241277</v>
      </c>
      <c r="K34" s="1325">
        <v>99809</v>
      </c>
      <c r="L34" s="1325">
        <v>212524</v>
      </c>
      <c r="M34" s="1325">
        <v>106897</v>
      </c>
      <c r="N34" s="1325">
        <v>81095</v>
      </c>
      <c r="O34" s="1325">
        <v>58777</v>
      </c>
      <c r="P34" s="1325">
        <v>286167</v>
      </c>
      <c r="Q34" s="1326">
        <f>SUM(B34:P34)</f>
        <v>2625911</v>
      </c>
      <c r="R34" s="1325">
        <v>113421</v>
      </c>
      <c r="S34" s="1325">
        <f>Q34+R34</f>
        <v>2739332</v>
      </c>
      <c r="T34" s="1325">
        <v>133898</v>
      </c>
      <c r="U34" s="1325">
        <f>S34+T34</f>
        <v>2873230</v>
      </c>
      <c r="V34" s="1338" t="s">
        <v>1691</v>
      </c>
    </row>
    <row r="35" spans="1:22" s="243" customFormat="1" ht="8.1" customHeight="1">
      <c r="A35" s="188"/>
      <c r="B35" s="1327">
        <f>(B34/S34)*100</f>
        <v>9.8838329928610325</v>
      </c>
      <c r="C35" s="1327">
        <f>(C34/S34)*100</f>
        <v>3.0332577431286167</v>
      </c>
      <c r="D35" s="1327">
        <f>(D34/S34)*100</f>
        <v>1.6992463856151792</v>
      </c>
      <c r="E35" s="1327">
        <f>(E34/S34)*100</f>
        <v>18.511812368854887</v>
      </c>
      <c r="F35" s="1327">
        <f>(F34/S34)*100</f>
        <v>1.2050383086095442</v>
      </c>
      <c r="G35" s="1327">
        <f>(G34/S34)*100</f>
        <v>8.123768860437508</v>
      </c>
      <c r="H35" s="1327">
        <f>(H34/S34)*100</f>
        <v>12.742741661105701</v>
      </c>
      <c r="I35" s="1327">
        <f>(I34/S34)*100</f>
        <v>0.99520613054569518</v>
      </c>
      <c r="J35" s="1327">
        <f>(J34/S34)*100</f>
        <v>8.8078772489059372</v>
      </c>
      <c r="K35" s="1327">
        <f>(K34/S34)*100</f>
        <v>3.6435525157228117</v>
      </c>
      <c r="L35" s="1327">
        <f>(L34/S34)*100</f>
        <v>7.758241790334286</v>
      </c>
      <c r="M35" s="1327">
        <f>(M34/S34)*100</f>
        <v>3.90230172903467</v>
      </c>
      <c r="N35" s="1327">
        <f>(N34/S34)*100</f>
        <v>2.9603932637591939</v>
      </c>
      <c r="O35" s="1327">
        <f>(O34/S34)*100</f>
        <v>2.1456690901285422</v>
      </c>
      <c r="P35" s="1327">
        <f>(P34/S34)*100</f>
        <v>10.446597929714251</v>
      </c>
      <c r="Q35" s="1327">
        <f>(Q34/S34)*100</f>
        <v>95.85953801875786</v>
      </c>
      <c r="R35" s="1327">
        <f>(R34/S34)*100</f>
        <v>4.1404619812421428</v>
      </c>
      <c r="S35" s="1327">
        <f>(S34/S34)*100</f>
        <v>100</v>
      </c>
      <c r="T35" s="1328"/>
      <c r="U35" s="1328"/>
      <c r="V35" s="304"/>
    </row>
    <row r="36" spans="1:22" s="33" customFormat="1" ht="9" customHeight="1">
      <c r="A36" s="1329" t="s">
        <v>2355</v>
      </c>
      <c r="B36" s="1325">
        <v>292221</v>
      </c>
      <c r="C36" s="1325">
        <v>92389</v>
      </c>
      <c r="D36" s="1325">
        <v>48718</v>
      </c>
      <c r="E36" s="1325">
        <v>559627</v>
      </c>
      <c r="F36" s="1325">
        <v>34921</v>
      </c>
      <c r="G36" s="1325">
        <v>251150</v>
      </c>
      <c r="H36" s="1325">
        <v>387606</v>
      </c>
      <c r="I36" s="1325">
        <v>30911</v>
      </c>
      <c r="J36" s="1325">
        <v>265227</v>
      </c>
      <c r="K36" s="1325">
        <v>107014</v>
      </c>
      <c r="L36" s="1325">
        <v>236065</v>
      </c>
      <c r="M36" s="1325">
        <v>117376</v>
      </c>
      <c r="N36" s="1325">
        <v>90419</v>
      </c>
      <c r="O36" s="1325">
        <v>66427</v>
      </c>
      <c r="P36" s="1325">
        <v>313313</v>
      </c>
      <c r="Q36" s="1326">
        <f>SUM(B36:P36)</f>
        <v>2893384</v>
      </c>
      <c r="R36" s="1325">
        <v>117681</v>
      </c>
      <c r="S36" s="1325">
        <f>Q36+R36</f>
        <v>3011065</v>
      </c>
      <c r="T36" s="1325">
        <v>186746</v>
      </c>
      <c r="U36" s="1325">
        <f>S36+T36</f>
        <v>3197811</v>
      </c>
      <c r="V36" s="1338" t="s">
        <v>2355</v>
      </c>
    </row>
    <row r="37" spans="1:22" s="243" customFormat="1" ht="8.1" customHeight="1">
      <c r="A37" s="188"/>
      <c r="B37" s="1327">
        <f>(B36/S36)*100</f>
        <v>9.7049050751146186</v>
      </c>
      <c r="C37" s="1327">
        <f>(C36/S36)*100</f>
        <v>3.0683163598261745</v>
      </c>
      <c r="D37" s="1327">
        <f>(D36/S36)*100</f>
        <v>1.6179657363756679</v>
      </c>
      <c r="E37" s="1327">
        <f>(E36/S36)*100</f>
        <v>18.585683138690133</v>
      </c>
      <c r="F37" s="1327">
        <f>(F36/S36)*100</f>
        <v>1.15975576747762</v>
      </c>
      <c r="G37" s="1327">
        <f>(G36/S36)*100</f>
        <v>8.3409026374389121</v>
      </c>
      <c r="H37" s="1327">
        <f>(H36/S36)*100</f>
        <v>12.872721113625909</v>
      </c>
      <c r="I37" s="1327">
        <f>(I36/S36)*100</f>
        <v>1.0265802963403314</v>
      </c>
      <c r="J37" s="1327">
        <f>(J36/S36)*100</f>
        <v>8.8084116417280924</v>
      </c>
      <c r="K37" s="1327">
        <f>(K36/S36)*100</f>
        <v>3.5540249048094283</v>
      </c>
      <c r="L37" s="1327">
        <f>(L36/S36)*100</f>
        <v>7.8399171057416561</v>
      </c>
      <c r="M37" s="1327">
        <f>(M36/S36)*100</f>
        <v>3.8981556359626914</v>
      </c>
      <c r="N37" s="1327">
        <f>(N36/S36)*100</f>
        <v>3.0028910036814218</v>
      </c>
      <c r="O37" s="1327">
        <f>(O36/S36)*100</f>
        <v>2.2060965140241078</v>
      </c>
      <c r="P37" s="1327">
        <f>(P36/S36)*100</f>
        <v>10.405388126792348</v>
      </c>
      <c r="Q37" s="1327">
        <f>(Q36/S36)*100</f>
        <v>96.091715057629116</v>
      </c>
      <c r="R37" s="1327">
        <f>(R36/S36)*100</f>
        <v>3.908284942370889</v>
      </c>
      <c r="S37" s="1327">
        <f>(S36/S36)*100</f>
        <v>100</v>
      </c>
      <c r="T37" s="1328"/>
      <c r="U37" s="1328"/>
      <c r="V37" s="304"/>
    </row>
    <row r="38" spans="1:22" s="33" customFormat="1" ht="8.1" customHeight="1">
      <c r="A38" s="1334" t="s">
        <v>2344</v>
      </c>
      <c r="B38" s="1335"/>
      <c r="C38" s="1336"/>
      <c r="D38" s="1336"/>
      <c r="E38" s="1336"/>
      <c r="F38" s="1336"/>
      <c r="G38" s="1336"/>
      <c r="H38" s="1336"/>
      <c r="I38" s="1336"/>
      <c r="J38" s="1336"/>
      <c r="K38" s="1336"/>
      <c r="L38" s="1336"/>
      <c r="M38" s="1336"/>
      <c r="N38" s="1336"/>
      <c r="O38" s="1336"/>
      <c r="P38" s="1336"/>
      <c r="Q38" s="1336"/>
      <c r="R38" s="1336"/>
      <c r="S38" s="1336"/>
      <c r="T38" s="1337"/>
      <c r="U38" s="1337"/>
      <c r="V38" s="1338"/>
    </row>
    <row r="39" spans="1:22" s="243" customFormat="1" ht="8.1" customHeight="1">
      <c r="A39" s="1291" t="s">
        <v>602</v>
      </c>
      <c r="B39" s="1339">
        <v>70171</v>
      </c>
      <c r="C39" s="1339">
        <v>16814</v>
      </c>
      <c r="D39" s="1339">
        <v>7009</v>
      </c>
      <c r="E39" s="1339">
        <v>73834</v>
      </c>
      <c r="F39" s="1339">
        <v>5553</v>
      </c>
      <c r="G39" s="1339">
        <v>29825</v>
      </c>
      <c r="H39" s="1339">
        <v>62352</v>
      </c>
      <c r="I39" s="1339">
        <v>3467</v>
      </c>
      <c r="J39" s="1339">
        <v>46497</v>
      </c>
      <c r="K39" s="1339">
        <v>14216</v>
      </c>
      <c r="L39" s="1339">
        <v>37935</v>
      </c>
      <c r="M39" s="1339">
        <v>14089</v>
      </c>
      <c r="N39" s="1339">
        <v>9962</v>
      </c>
      <c r="O39" s="1339">
        <v>9288</v>
      </c>
      <c r="P39" s="1339">
        <v>56600</v>
      </c>
      <c r="Q39" s="1340">
        <f>SUM(B39:P39)</f>
        <v>457612</v>
      </c>
      <c r="R39" s="1339">
        <v>24725</v>
      </c>
      <c r="S39" s="1339">
        <f>Q39+R39</f>
        <v>482337</v>
      </c>
      <c r="T39" s="1339">
        <v>27208</v>
      </c>
      <c r="U39" s="1339">
        <f>S39+T39</f>
        <v>509545</v>
      </c>
      <c r="V39" s="304" t="s">
        <v>602</v>
      </c>
    </row>
    <row r="40" spans="1:22" s="33" customFormat="1" ht="8.1" customHeight="1">
      <c r="A40" s="1329"/>
      <c r="B40" s="1336">
        <f>(B39/S39)*100</f>
        <v>14.548127139323752</v>
      </c>
      <c r="C40" s="1336">
        <f>(C39/S39)*100</f>
        <v>3.4859444745064136</v>
      </c>
      <c r="D40" s="1336">
        <f>(D39/S39)*100</f>
        <v>1.4531333901400889</v>
      </c>
      <c r="E40" s="1336">
        <f>(E39/S39)*100</f>
        <v>15.307554676502114</v>
      </c>
      <c r="F40" s="1336">
        <f>(F39/S39)*100</f>
        <v>1.151269755378501</v>
      </c>
      <c r="G40" s="1336">
        <f>(G39/S39)*100</f>
        <v>6.1834360623381581</v>
      </c>
      <c r="H40" s="1336">
        <f>(H39/S39)*100</f>
        <v>12.927061369955032</v>
      </c>
      <c r="I40" s="1336">
        <f>(I39/S39)*100</f>
        <v>0.71879204788353368</v>
      </c>
      <c r="J40" s="1336">
        <f>(J39/S39)*100</f>
        <v>9.6399405394983173</v>
      </c>
      <c r="K40" s="1336">
        <f>(K39/S39)*100</f>
        <v>2.9473169174249541</v>
      </c>
      <c r="L40" s="1336">
        <f>(L39/S39)*100</f>
        <v>7.8648330938741999</v>
      </c>
      <c r="M40" s="1336">
        <f>(M39/S39)*100</f>
        <v>2.9209867789533042</v>
      </c>
      <c r="N40" s="1336">
        <f>(N39/S39)*100</f>
        <v>2.0653609405871829</v>
      </c>
      <c r="O40" s="1336">
        <f>(O39/S39)*100</f>
        <v>1.9256246151549643</v>
      </c>
      <c r="P40" s="1336">
        <f>(P39/S39)*100</f>
        <v>11.734534153506781</v>
      </c>
      <c r="Q40" s="1336">
        <f>(Q39/S39)*100</f>
        <v>94.8739159550273</v>
      </c>
      <c r="R40" s="1336">
        <f>(R39/S39)*100</f>
        <v>5.1260840449727052</v>
      </c>
      <c r="S40" s="1336">
        <f>(S39/S39)*100</f>
        <v>100</v>
      </c>
      <c r="T40" s="1337"/>
      <c r="U40" s="1337"/>
      <c r="V40" s="1338"/>
    </row>
    <row r="41" spans="1:22" s="243" customFormat="1" ht="8.1" customHeight="1">
      <c r="A41" s="188" t="s">
        <v>611</v>
      </c>
      <c r="B41" s="1373">
        <v>74410</v>
      </c>
      <c r="C41" s="1339">
        <v>18397</v>
      </c>
      <c r="D41" s="1339">
        <v>7433</v>
      </c>
      <c r="E41" s="1339">
        <v>81612</v>
      </c>
      <c r="F41" s="1339">
        <v>5831</v>
      </c>
      <c r="G41" s="1339">
        <v>31836</v>
      </c>
      <c r="H41" s="1339">
        <v>67571</v>
      </c>
      <c r="I41" s="1339">
        <v>3659</v>
      </c>
      <c r="J41" s="1339">
        <v>50878</v>
      </c>
      <c r="K41" s="1339">
        <v>15139</v>
      </c>
      <c r="L41" s="1339">
        <v>39382</v>
      </c>
      <c r="M41" s="1339">
        <v>15293</v>
      </c>
      <c r="N41" s="1339">
        <v>10835</v>
      </c>
      <c r="O41" s="1339">
        <v>9749</v>
      </c>
      <c r="P41" s="1339">
        <v>58399</v>
      </c>
      <c r="Q41" s="878">
        <f>SUM(B41:P41)</f>
        <v>490424</v>
      </c>
      <c r="R41" s="1339">
        <v>25959</v>
      </c>
      <c r="S41" s="1035">
        <f>Q41+R41</f>
        <v>516383</v>
      </c>
      <c r="T41" s="1339">
        <v>33121</v>
      </c>
      <c r="U41" s="1035">
        <f>S41+T41</f>
        <v>549504</v>
      </c>
      <c r="V41" s="304" t="s">
        <v>611</v>
      </c>
    </row>
    <row r="42" spans="1:22" s="33" customFormat="1" ht="8.1" customHeight="1">
      <c r="A42" s="1329"/>
      <c r="B42" s="1336">
        <f t="shared" ref="B42:S42" si="0">(B41/$S41)*100</f>
        <v>14.409846954682862</v>
      </c>
      <c r="C42" s="1336">
        <f t="shared" si="0"/>
        <v>3.562665695811055</v>
      </c>
      <c r="D42" s="1336">
        <f t="shared" si="0"/>
        <v>1.4394354577900512</v>
      </c>
      <c r="E42" s="1336">
        <f t="shared" si="0"/>
        <v>15.804548174513878</v>
      </c>
      <c r="F42" s="1336">
        <f t="shared" si="0"/>
        <v>1.1292006127235017</v>
      </c>
      <c r="G42" s="1336">
        <f t="shared" si="0"/>
        <v>6.1651913405359977</v>
      </c>
      <c r="H42" s="1336">
        <f t="shared" si="0"/>
        <v>13.085442394501756</v>
      </c>
      <c r="I42" s="1336">
        <f t="shared" si="0"/>
        <v>0.70858258308271183</v>
      </c>
      <c r="J42" s="1336">
        <f t="shared" si="0"/>
        <v>9.8527643241547462</v>
      </c>
      <c r="K42" s="1336">
        <f t="shared" si="0"/>
        <v>2.9317386513498702</v>
      </c>
      <c r="L42" s="1336">
        <f t="shared" si="0"/>
        <v>7.6265097805311166</v>
      </c>
      <c r="M42" s="1336">
        <f t="shared" si="0"/>
        <v>2.9615614766558931</v>
      </c>
      <c r="N42" s="1336">
        <f t="shared" si="0"/>
        <v>2.0982487804594654</v>
      </c>
      <c r="O42" s="1336">
        <f t="shared" si="0"/>
        <v>1.8879397656390702</v>
      </c>
      <c r="P42" s="1336">
        <f t="shared" si="0"/>
        <v>11.309241396405382</v>
      </c>
      <c r="Q42" s="1336">
        <f t="shared" si="0"/>
        <v>94.972917388837345</v>
      </c>
      <c r="R42" s="1336">
        <f t="shared" si="0"/>
        <v>5.027082611162645</v>
      </c>
      <c r="S42" s="1336">
        <f t="shared" si="0"/>
        <v>100</v>
      </c>
      <c r="T42" s="1374"/>
      <c r="U42" s="1374"/>
      <c r="V42" s="1338"/>
    </row>
    <row r="43" spans="1:22" s="243" customFormat="1" ht="8.1" customHeight="1">
      <c r="A43" s="188" t="s">
        <v>361</v>
      </c>
      <c r="B43" s="1373">
        <v>77292</v>
      </c>
      <c r="C43" s="1339">
        <v>19685</v>
      </c>
      <c r="D43" s="1339">
        <v>8003</v>
      </c>
      <c r="E43" s="1339">
        <v>87596</v>
      </c>
      <c r="F43" s="1339">
        <v>6284</v>
      </c>
      <c r="G43" s="1339">
        <v>33742</v>
      </c>
      <c r="H43" s="1339">
        <v>72481</v>
      </c>
      <c r="I43" s="1339">
        <v>3866</v>
      </c>
      <c r="J43" s="1339">
        <v>55079</v>
      </c>
      <c r="K43" s="1339">
        <v>15733</v>
      </c>
      <c r="L43" s="1339">
        <v>40877</v>
      </c>
      <c r="M43" s="1339">
        <v>16289</v>
      </c>
      <c r="N43" s="1339">
        <v>11609</v>
      </c>
      <c r="O43" s="1339">
        <v>10321</v>
      </c>
      <c r="P43" s="1339">
        <v>60261</v>
      </c>
      <c r="Q43" s="878">
        <f>SUM(B43:P43)</f>
        <v>519118</v>
      </c>
      <c r="R43" s="1339">
        <v>28319</v>
      </c>
      <c r="S43" s="1035">
        <f>Q43+R43</f>
        <v>547437</v>
      </c>
      <c r="T43" s="1339">
        <v>42109</v>
      </c>
      <c r="U43" s="1035">
        <f>S43+T43</f>
        <v>589546</v>
      </c>
      <c r="V43" s="304" t="s">
        <v>361</v>
      </c>
    </row>
    <row r="44" spans="1:22" s="33" customFormat="1" ht="8.1" customHeight="1">
      <c r="A44" s="1329"/>
      <c r="B44" s="1336">
        <f t="shared" ref="B44:S44" si="1">(B43/$S43)*100</f>
        <v>14.118884912784486</v>
      </c>
      <c r="C44" s="1336">
        <f t="shared" si="1"/>
        <v>3.5958475587145191</v>
      </c>
      <c r="D44" s="1336">
        <f t="shared" si="1"/>
        <v>1.4619033788362861</v>
      </c>
      <c r="E44" s="1336">
        <f t="shared" si="1"/>
        <v>16.001110630081637</v>
      </c>
      <c r="F44" s="1336">
        <f t="shared" si="1"/>
        <v>1.1478946435845585</v>
      </c>
      <c r="G44" s="1336">
        <f t="shared" si="1"/>
        <v>6.1636316142314094</v>
      </c>
      <c r="H44" s="1336">
        <f t="shared" si="1"/>
        <v>13.240062326806553</v>
      </c>
      <c r="I44" s="1336">
        <f t="shared" si="1"/>
        <v>0.70619998282907448</v>
      </c>
      <c r="J44" s="1336">
        <f t="shared" si="1"/>
        <v>10.061249056969112</v>
      </c>
      <c r="K44" s="1336">
        <f t="shared" si="1"/>
        <v>2.8739380056517922</v>
      </c>
      <c r="L44" s="1336">
        <f t="shared" si="1"/>
        <v>7.4669779353605987</v>
      </c>
      <c r="M44" s="1336">
        <f t="shared" si="1"/>
        <v>2.9755022039065682</v>
      </c>
      <c r="N44" s="1336">
        <f t="shared" si="1"/>
        <v>2.12060931212176</v>
      </c>
      <c r="O44" s="1336">
        <f t="shared" si="1"/>
        <v>1.8853310974596162</v>
      </c>
      <c r="P44" s="1336">
        <f t="shared" si="1"/>
        <v>11.007841998257334</v>
      </c>
      <c r="Q44" s="1336">
        <f t="shared" si="1"/>
        <v>94.826984657595304</v>
      </c>
      <c r="R44" s="1336">
        <f t="shared" si="1"/>
        <v>5.1730153424046961</v>
      </c>
      <c r="S44" s="1336">
        <f t="shared" si="1"/>
        <v>100</v>
      </c>
      <c r="T44" s="1374"/>
      <c r="U44" s="1374"/>
      <c r="V44" s="1338"/>
    </row>
    <row r="45" spans="1:22" s="243" customFormat="1" ht="8.1" customHeight="1">
      <c r="A45" s="188" t="s">
        <v>85</v>
      </c>
      <c r="B45" s="1373">
        <v>79682</v>
      </c>
      <c r="C45" s="1339">
        <v>20657</v>
      </c>
      <c r="D45" s="1339">
        <v>8841</v>
      </c>
      <c r="E45" s="1339">
        <v>93459</v>
      </c>
      <c r="F45" s="1339">
        <v>6740</v>
      </c>
      <c r="G45" s="1339">
        <v>35962</v>
      </c>
      <c r="H45" s="1339">
        <v>76728</v>
      </c>
      <c r="I45" s="1339">
        <v>4093</v>
      </c>
      <c r="J45" s="1339">
        <v>59513</v>
      </c>
      <c r="K45" s="1339">
        <v>15728</v>
      </c>
      <c r="L45" s="1339">
        <v>42442</v>
      </c>
      <c r="M45" s="1339">
        <v>17447</v>
      </c>
      <c r="N45" s="1339">
        <v>12293</v>
      </c>
      <c r="O45" s="1339">
        <v>10634</v>
      </c>
      <c r="P45" s="1339">
        <v>62191</v>
      </c>
      <c r="Q45" s="878">
        <f>SUM(B45:P45)</f>
        <v>546410</v>
      </c>
      <c r="R45" s="1339">
        <v>28646</v>
      </c>
      <c r="S45" s="1035">
        <f>Q45+R45</f>
        <v>575056</v>
      </c>
      <c r="T45" s="1339">
        <v>45558</v>
      </c>
      <c r="U45" s="1035">
        <f>S45+T45</f>
        <v>620614</v>
      </c>
      <c r="V45" s="304" t="s">
        <v>85</v>
      </c>
    </row>
    <row r="46" spans="1:22" s="33" customFormat="1" ht="8.1" customHeight="1">
      <c r="A46" s="1329"/>
      <c r="B46" s="1336">
        <f t="shared" ref="B46:S46" si="2">(B45/$S45)*100</f>
        <v>13.856389638574329</v>
      </c>
      <c r="C46" s="1336">
        <f t="shared" si="2"/>
        <v>3.5921718928243509</v>
      </c>
      <c r="D46" s="1336">
        <f t="shared" si="2"/>
        <v>1.5374154864917504</v>
      </c>
      <c r="E46" s="1336">
        <f t="shared" si="2"/>
        <v>16.252156311733117</v>
      </c>
      <c r="F46" s="1336">
        <f t="shared" si="2"/>
        <v>1.1720597646142288</v>
      </c>
      <c r="G46" s="1336">
        <f t="shared" si="2"/>
        <v>6.2536518182576994</v>
      </c>
      <c r="H46" s="1336">
        <f t="shared" si="2"/>
        <v>13.342700536991181</v>
      </c>
      <c r="I46" s="1336">
        <f t="shared" si="2"/>
        <v>0.71175676803650434</v>
      </c>
      <c r="J46" s="1336">
        <f t="shared" si="2"/>
        <v>10.34907904621463</v>
      </c>
      <c r="K46" s="1336">
        <f t="shared" si="2"/>
        <v>2.73503797890988</v>
      </c>
      <c r="L46" s="1336">
        <f t="shared" si="2"/>
        <v>7.3804985949194517</v>
      </c>
      <c r="M46" s="1336">
        <f t="shared" si="2"/>
        <v>3.0339653877187613</v>
      </c>
      <c r="N46" s="1336">
        <f t="shared" si="2"/>
        <v>2.1377048496146465</v>
      </c>
      <c r="O46" s="1336">
        <f t="shared" si="2"/>
        <v>1.8492112072563367</v>
      </c>
      <c r="P46" s="1336">
        <f t="shared" si="2"/>
        <v>10.81477282212515</v>
      </c>
      <c r="Q46" s="1336">
        <f t="shared" si="2"/>
        <v>95.018572104282015</v>
      </c>
      <c r="R46" s="1336">
        <f t="shared" si="2"/>
        <v>4.9814278957179825</v>
      </c>
      <c r="S46" s="1336">
        <f t="shared" si="2"/>
        <v>100</v>
      </c>
      <c r="T46" s="1374"/>
      <c r="U46" s="1374"/>
      <c r="V46" s="1338"/>
    </row>
    <row r="47" spans="1:22" s="243" customFormat="1" ht="8.1" customHeight="1">
      <c r="A47" s="601" t="s">
        <v>81</v>
      </c>
      <c r="B47" s="1373">
        <v>84904</v>
      </c>
      <c r="C47" s="1339">
        <v>21607</v>
      </c>
      <c r="D47" s="1339">
        <v>9561</v>
      </c>
      <c r="E47" s="1339">
        <v>99671</v>
      </c>
      <c r="F47" s="1339">
        <v>7412</v>
      </c>
      <c r="G47" s="1339">
        <v>38554</v>
      </c>
      <c r="H47" s="1339">
        <v>81219</v>
      </c>
      <c r="I47" s="1339">
        <v>4339</v>
      </c>
      <c r="J47" s="1339">
        <v>64006</v>
      </c>
      <c r="K47" s="1339">
        <v>16711</v>
      </c>
      <c r="L47" s="1339">
        <v>44078</v>
      </c>
      <c r="M47" s="1339">
        <v>18882</v>
      </c>
      <c r="N47" s="1339">
        <v>12930</v>
      </c>
      <c r="O47" s="1339">
        <v>11360</v>
      </c>
      <c r="P47" s="1339">
        <v>64191</v>
      </c>
      <c r="Q47" s="878">
        <f>SUM(B47:P47)</f>
        <v>579425</v>
      </c>
      <c r="R47" s="1339">
        <v>27672</v>
      </c>
      <c r="S47" s="1035">
        <f>Q47+R47</f>
        <v>607097</v>
      </c>
      <c r="T47" s="1339">
        <v>49143</v>
      </c>
      <c r="U47" s="1035">
        <f>S47+T47</f>
        <v>656240</v>
      </c>
      <c r="V47" s="1381" t="s">
        <v>81</v>
      </c>
    </row>
    <row r="48" spans="1:22" s="33" customFormat="1" ht="8.1" customHeight="1">
      <c r="A48" s="1329"/>
      <c r="B48" s="1336">
        <f t="shared" ref="B48:S48" si="3">(B47/$S47)*100</f>
        <v>13.98524453258705</v>
      </c>
      <c r="C48" s="1336">
        <f t="shared" si="3"/>
        <v>3.5590688143739801</v>
      </c>
      <c r="D48" s="1336">
        <f t="shared" si="3"/>
        <v>1.5748718903239516</v>
      </c>
      <c r="E48" s="1336">
        <f t="shared" si="3"/>
        <v>16.417640014692875</v>
      </c>
      <c r="F48" s="1336">
        <f t="shared" si="3"/>
        <v>1.2208922132706963</v>
      </c>
      <c r="G48" s="1336">
        <f t="shared" si="3"/>
        <v>6.3505502415594215</v>
      </c>
      <c r="H48" s="1336">
        <f t="shared" si="3"/>
        <v>13.378257510743751</v>
      </c>
      <c r="I48" s="1336">
        <f t="shared" si="3"/>
        <v>0.71471280536718185</v>
      </c>
      <c r="J48" s="1336">
        <f t="shared" si="3"/>
        <v>10.54296100952566</v>
      </c>
      <c r="K48" s="1336">
        <f t="shared" si="3"/>
        <v>2.7526079028557215</v>
      </c>
      <c r="L48" s="1336">
        <f t="shared" si="3"/>
        <v>7.2604542601923576</v>
      </c>
      <c r="M48" s="1336">
        <f t="shared" si="3"/>
        <v>3.1102113830244589</v>
      </c>
      <c r="N48" s="1336">
        <f t="shared" si="3"/>
        <v>2.1298079219630472</v>
      </c>
      <c r="O48" s="1336">
        <f t="shared" si="3"/>
        <v>1.8712001541763508</v>
      </c>
      <c r="P48" s="1336">
        <f t="shared" si="3"/>
        <v>10.573433899360399</v>
      </c>
      <c r="Q48" s="1336">
        <f t="shared" si="3"/>
        <v>95.441914554016904</v>
      </c>
      <c r="R48" s="1336">
        <f t="shared" si="3"/>
        <v>4.5580854459830968</v>
      </c>
      <c r="S48" s="1336">
        <f t="shared" si="3"/>
        <v>100</v>
      </c>
      <c r="T48" s="1374"/>
      <c r="U48" s="1374"/>
      <c r="V48" s="1338"/>
    </row>
    <row r="49" spans="1:27" s="243" customFormat="1" ht="8.1" customHeight="1">
      <c r="A49" s="188" t="s">
        <v>198</v>
      </c>
      <c r="B49" s="1339">
        <v>88206</v>
      </c>
      <c r="C49" s="1339">
        <v>23051</v>
      </c>
      <c r="D49" s="1339">
        <v>9907</v>
      </c>
      <c r="E49" s="1339">
        <v>109651</v>
      </c>
      <c r="F49" s="1339">
        <v>8402</v>
      </c>
      <c r="G49" s="1339">
        <v>41235</v>
      </c>
      <c r="H49" s="1339">
        <v>86650</v>
      </c>
      <c r="I49" s="1339">
        <v>4608</v>
      </c>
      <c r="J49" s="1339">
        <v>69409</v>
      </c>
      <c r="K49" s="1339">
        <v>18456</v>
      </c>
      <c r="L49" s="1339">
        <v>45790</v>
      </c>
      <c r="M49" s="1339">
        <v>20552</v>
      </c>
      <c r="N49" s="1339">
        <v>13659</v>
      </c>
      <c r="O49" s="1339">
        <v>12080</v>
      </c>
      <c r="P49" s="1339">
        <v>66265</v>
      </c>
      <c r="Q49" s="878">
        <f>SUM(B49:P49)</f>
        <v>617921</v>
      </c>
      <c r="R49" s="1339">
        <v>28421</v>
      </c>
      <c r="S49" s="1035">
        <f>Q49+R49</f>
        <v>646342</v>
      </c>
      <c r="T49" s="1339">
        <v>51126</v>
      </c>
      <c r="U49" s="1035">
        <f>S49+T49</f>
        <v>697468</v>
      </c>
      <c r="V49" s="304" t="s">
        <v>198</v>
      </c>
    </row>
    <row r="50" spans="1:27" s="33" customFormat="1" ht="8.1" customHeight="1">
      <c r="A50" s="1329"/>
      <c r="B50" s="1336">
        <f t="shared" ref="B50:S50" si="4">(B49/$S49)*100</f>
        <v>13.646954708188543</v>
      </c>
      <c r="C50" s="1336">
        <f t="shared" si="4"/>
        <v>3.5663781713086879</v>
      </c>
      <c r="D50" s="1336">
        <f t="shared" si="4"/>
        <v>1.5327798595789845</v>
      </c>
      <c r="E50" s="1336">
        <f t="shared" si="4"/>
        <v>16.964857614080472</v>
      </c>
      <c r="F50" s="1336">
        <f t="shared" si="4"/>
        <v>1.2999309962837011</v>
      </c>
      <c r="G50" s="1336">
        <f t="shared" si="4"/>
        <v>6.3797494205853873</v>
      </c>
      <c r="H50" s="1336">
        <f t="shared" si="4"/>
        <v>13.406215285406178</v>
      </c>
      <c r="I50" s="1336">
        <f t="shared" si="4"/>
        <v>0.71293525718582429</v>
      </c>
      <c r="J50" s="1336">
        <f t="shared" si="4"/>
        <v>10.738742028214165</v>
      </c>
      <c r="K50" s="1336">
        <f t="shared" si="4"/>
        <v>2.8554542332078063</v>
      </c>
      <c r="L50" s="1336">
        <f t="shared" si="4"/>
        <v>7.0844846845787526</v>
      </c>
      <c r="M50" s="1336">
        <f t="shared" si="4"/>
        <v>3.1797407564416362</v>
      </c>
      <c r="N50" s="1336">
        <f t="shared" si="4"/>
        <v>2.11327749086397</v>
      </c>
      <c r="O50" s="1336">
        <f t="shared" si="4"/>
        <v>1.8689795804697822</v>
      </c>
      <c r="P50" s="1336">
        <f t="shared" si="4"/>
        <v>10.25231224336342</v>
      </c>
      <c r="Q50" s="1336">
        <f t="shared" si="4"/>
        <v>95.602792329757307</v>
      </c>
      <c r="R50" s="1336">
        <f t="shared" si="4"/>
        <v>4.3972076702426888</v>
      </c>
      <c r="S50" s="1336">
        <f t="shared" si="4"/>
        <v>100</v>
      </c>
      <c r="T50" s="1374"/>
      <c r="U50" s="1374"/>
      <c r="V50" s="1338"/>
    </row>
    <row r="51" spans="1:27" s="243" customFormat="1" ht="8.1" customHeight="1">
      <c r="A51" s="188" t="s">
        <v>789</v>
      </c>
      <c r="B51" s="1339">
        <v>90332</v>
      </c>
      <c r="C51" s="1339">
        <v>24279</v>
      </c>
      <c r="D51" s="1339">
        <v>10593</v>
      </c>
      <c r="E51" s="1339">
        <v>120567</v>
      </c>
      <c r="F51" s="1339">
        <v>9291</v>
      </c>
      <c r="G51" s="1339">
        <v>44709</v>
      </c>
      <c r="H51" s="1339">
        <v>92457</v>
      </c>
      <c r="I51" s="1339">
        <v>4902</v>
      </c>
      <c r="J51" s="1339">
        <v>75761</v>
      </c>
      <c r="K51" s="1339">
        <v>21180</v>
      </c>
      <c r="L51" s="1339">
        <v>47587</v>
      </c>
      <c r="M51" s="1339">
        <v>22099</v>
      </c>
      <c r="N51" s="1339">
        <v>14718</v>
      </c>
      <c r="O51" s="1339">
        <v>12540</v>
      </c>
      <c r="P51" s="1339">
        <v>68416</v>
      </c>
      <c r="Q51" s="878">
        <f>SUM(B51:P51)</f>
        <v>659431</v>
      </c>
      <c r="R51" s="1339">
        <v>29062</v>
      </c>
      <c r="S51" s="1035">
        <f>Q51+R51</f>
        <v>688493</v>
      </c>
      <c r="T51" s="1339">
        <v>58267</v>
      </c>
      <c r="U51" s="1035">
        <f>S51+T51</f>
        <v>746760</v>
      </c>
      <c r="V51" s="304" t="s">
        <v>789</v>
      </c>
    </row>
    <row r="52" spans="1:27" s="33" customFormat="1" ht="8.1" customHeight="1">
      <c r="A52" s="1329"/>
      <c r="B52" s="1336">
        <f t="shared" ref="B52:S52" si="5">(B51/$S51)*100</f>
        <v>13.120249588594218</v>
      </c>
      <c r="C52" s="1336">
        <f t="shared" si="5"/>
        <v>3.5263975087618902</v>
      </c>
      <c r="D52" s="1336">
        <f t="shared" si="5"/>
        <v>1.5385777342689033</v>
      </c>
      <c r="E52" s="1336">
        <f t="shared" si="5"/>
        <v>17.511724883186901</v>
      </c>
      <c r="F52" s="1336">
        <f t="shared" si="5"/>
        <v>1.3494690577827226</v>
      </c>
      <c r="G52" s="1336">
        <f t="shared" si="5"/>
        <v>6.4937479393399791</v>
      </c>
      <c r="H52" s="1336">
        <f t="shared" si="5"/>
        <v>13.428894701906918</v>
      </c>
      <c r="I52" s="1336">
        <f t="shared" si="5"/>
        <v>0.71198980962769409</v>
      </c>
      <c r="J52" s="1336">
        <f t="shared" si="5"/>
        <v>11.003888202203944</v>
      </c>
      <c r="K52" s="1336">
        <f t="shared" si="5"/>
        <v>3.0762839999825706</v>
      </c>
      <c r="L52" s="1336">
        <f t="shared" si="5"/>
        <v>6.9117623563347772</v>
      </c>
      <c r="M52" s="1336">
        <f t="shared" si="5"/>
        <v>3.2097639336928627</v>
      </c>
      <c r="N52" s="1336">
        <f t="shared" si="5"/>
        <v>2.1377123659935542</v>
      </c>
      <c r="O52" s="1336">
        <f t="shared" si="5"/>
        <v>1.8213692804429384</v>
      </c>
      <c r="P52" s="1336">
        <f t="shared" si="5"/>
        <v>9.9370654458360512</v>
      </c>
      <c r="Q52" s="1336">
        <f t="shared" si="5"/>
        <v>95.778896807955931</v>
      </c>
      <c r="R52" s="1336">
        <f t="shared" si="5"/>
        <v>4.2211031920440734</v>
      </c>
      <c r="S52" s="1336">
        <f t="shared" si="5"/>
        <v>100</v>
      </c>
      <c r="T52" s="1374"/>
      <c r="U52" s="1374"/>
      <c r="V52" s="1338"/>
    </row>
    <row r="53" spans="1:27" s="243" customFormat="1" ht="8.1" customHeight="1">
      <c r="A53" s="188" t="s">
        <v>905</v>
      </c>
      <c r="B53" s="1339">
        <v>91656</v>
      </c>
      <c r="C53" s="1339">
        <v>25779</v>
      </c>
      <c r="D53" s="1339">
        <v>11584</v>
      </c>
      <c r="E53" s="1339">
        <v>132994</v>
      </c>
      <c r="F53" s="1339">
        <v>10126</v>
      </c>
      <c r="G53" s="1339">
        <v>48305</v>
      </c>
      <c r="H53" s="1339">
        <v>98173</v>
      </c>
      <c r="I53" s="1339">
        <v>5220</v>
      </c>
      <c r="J53" s="1339">
        <v>80514</v>
      </c>
      <c r="K53" s="1339">
        <v>23110</v>
      </c>
      <c r="L53" s="1339">
        <v>49509</v>
      </c>
      <c r="M53" s="1339">
        <v>23542</v>
      </c>
      <c r="N53" s="1339">
        <v>15645</v>
      </c>
      <c r="O53" s="1339">
        <v>13137</v>
      </c>
      <c r="P53" s="1339">
        <v>70642</v>
      </c>
      <c r="Q53" s="878">
        <f>SUM(B53:P53)</f>
        <v>699936</v>
      </c>
      <c r="R53" s="1339">
        <v>29960</v>
      </c>
      <c r="S53" s="1035">
        <f>Q53+R53</f>
        <v>729896</v>
      </c>
      <c r="T53" s="1339">
        <v>58705</v>
      </c>
      <c r="U53" s="1035">
        <f>S53+T53</f>
        <v>788601</v>
      </c>
      <c r="V53" s="304" t="s">
        <v>905</v>
      </c>
    </row>
    <row r="54" spans="1:27" s="33" customFormat="1" ht="8.1" customHeight="1">
      <c r="A54" s="1329"/>
      <c r="B54" s="1336">
        <f t="shared" ref="B54:S54" si="6">(B53/$S53)*100</f>
        <v>12.55740543858303</v>
      </c>
      <c r="C54" s="1336">
        <f t="shared" si="6"/>
        <v>3.531873033966483</v>
      </c>
      <c r="D54" s="1336">
        <f t="shared" si="6"/>
        <v>1.5870754189637977</v>
      </c>
      <c r="E54" s="1336">
        <f t="shared" si="6"/>
        <v>18.220952026042067</v>
      </c>
      <c r="F54" s="1336">
        <f t="shared" si="6"/>
        <v>1.3873209333932506</v>
      </c>
      <c r="G54" s="1336">
        <f t="shared" si="6"/>
        <v>6.6180661354494337</v>
      </c>
      <c r="H54" s="1336">
        <f t="shared" si="6"/>
        <v>13.450272367570173</v>
      </c>
      <c r="I54" s="1336">
        <f t="shared" si="6"/>
        <v>0.71517038043776104</v>
      </c>
      <c r="J54" s="1336">
        <f t="shared" si="6"/>
        <v>11.03088659206243</v>
      </c>
      <c r="K54" s="1336">
        <f t="shared" si="6"/>
        <v>3.1662045003671757</v>
      </c>
      <c r="L54" s="1336">
        <f t="shared" si="6"/>
        <v>6.7830211427381437</v>
      </c>
      <c r="M54" s="1336">
        <f t="shared" si="6"/>
        <v>3.2253910146103006</v>
      </c>
      <c r="N54" s="1336">
        <f t="shared" si="6"/>
        <v>2.1434560540131744</v>
      </c>
      <c r="O54" s="1336">
        <f t="shared" si="6"/>
        <v>1.7998454574350318</v>
      </c>
      <c r="P54" s="1336">
        <f t="shared" si="6"/>
        <v>9.6783651369510171</v>
      </c>
      <c r="Q54" s="1336">
        <f t="shared" si="6"/>
        <v>95.895305632583273</v>
      </c>
      <c r="R54" s="1336">
        <f t="shared" si="6"/>
        <v>4.1046943674167284</v>
      </c>
      <c r="S54" s="1336">
        <f t="shared" si="6"/>
        <v>100</v>
      </c>
      <c r="T54" s="1374"/>
      <c r="U54" s="1374"/>
      <c r="V54" s="1338"/>
    </row>
    <row r="55" spans="1:27" s="243" customFormat="1" ht="8.1" customHeight="1">
      <c r="A55" s="287" t="s">
        <v>1104</v>
      </c>
      <c r="B55" s="1339">
        <v>95151</v>
      </c>
      <c r="C55" s="1339">
        <v>27419</v>
      </c>
      <c r="D55" s="1339">
        <v>12127</v>
      </c>
      <c r="E55" s="1339">
        <v>144653</v>
      </c>
      <c r="F55" s="1339">
        <v>10585</v>
      </c>
      <c r="G55" s="1339">
        <v>52209</v>
      </c>
      <c r="H55" s="1339">
        <v>104776</v>
      </c>
      <c r="I55" s="1339">
        <v>5570</v>
      </c>
      <c r="J55" s="1339">
        <v>85382</v>
      </c>
      <c r="K55" s="1339">
        <v>24790</v>
      </c>
      <c r="L55" s="1339">
        <v>51615</v>
      </c>
      <c r="M55" s="1339">
        <v>25165</v>
      </c>
      <c r="N55" s="1339">
        <v>16781</v>
      </c>
      <c r="O55" s="1339">
        <v>13802</v>
      </c>
      <c r="P55" s="1339">
        <v>72955</v>
      </c>
      <c r="Q55" s="878">
        <f>SUM(B55:P55)</f>
        <v>742980</v>
      </c>
      <c r="R55" s="1339">
        <v>31156</v>
      </c>
      <c r="S55" s="1035">
        <f>Q55+R55</f>
        <v>774136</v>
      </c>
      <c r="T55" s="1339">
        <v>51592</v>
      </c>
      <c r="U55" s="1035">
        <f>S55+T55</f>
        <v>825728</v>
      </c>
      <c r="V55" s="304" t="s">
        <v>1104</v>
      </c>
    </row>
    <row r="56" spans="1:27" s="33" customFormat="1" ht="8.1" customHeight="1">
      <c r="A56" s="1329"/>
      <c r="B56" s="1336">
        <f t="shared" ref="B56:S56" si="7">(B55/$S55)*100</f>
        <v>12.291251149668792</v>
      </c>
      <c r="C56" s="1336">
        <f t="shared" si="7"/>
        <v>3.5418841133857617</v>
      </c>
      <c r="D56" s="1336">
        <f t="shared" si="7"/>
        <v>1.5665206113654448</v>
      </c>
      <c r="E56" s="1336">
        <f t="shared" si="7"/>
        <v>18.685734806287268</v>
      </c>
      <c r="F56" s="1336">
        <f t="shared" si="7"/>
        <v>1.3673308049231658</v>
      </c>
      <c r="G56" s="1336">
        <f t="shared" si="7"/>
        <v>6.7441638161770028</v>
      </c>
      <c r="H56" s="1336">
        <f t="shared" si="7"/>
        <v>13.53457273657342</v>
      </c>
      <c r="I56" s="1336">
        <f t="shared" si="7"/>
        <v>0.71951181704506706</v>
      </c>
      <c r="J56" s="1336">
        <f t="shared" si="7"/>
        <v>11.029328180061384</v>
      </c>
      <c r="K56" s="1336">
        <f t="shared" si="7"/>
        <v>3.2022797027912406</v>
      </c>
      <c r="L56" s="1336">
        <f t="shared" si="7"/>
        <v>6.6674331125280322</v>
      </c>
      <c r="M56" s="1336">
        <f t="shared" si="7"/>
        <v>3.2507208035797328</v>
      </c>
      <c r="N56" s="1336">
        <f t="shared" si="7"/>
        <v>2.1677069662178221</v>
      </c>
      <c r="O56" s="1336">
        <f t="shared" si="7"/>
        <v>1.7828908615540422</v>
      </c>
      <c r="P56" s="1336">
        <f t="shared" si="7"/>
        <v>9.4240546880651461</v>
      </c>
      <c r="Q56" s="1336">
        <f t="shared" si="7"/>
        <v>95.975384170223322</v>
      </c>
      <c r="R56" s="1336">
        <f t="shared" si="7"/>
        <v>4.0246158297766801</v>
      </c>
      <c r="S56" s="1336">
        <f t="shared" si="7"/>
        <v>100</v>
      </c>
      <c r="T56" s="1374"/>
      <c r="U56" s="1374"/>
      <c r="V56" s="1338"/>
    </row>
    <row r="57" spans="1:27" s="243" customFormat="1" ht="8.1" customHeight="1">
      <c r="A57" s="1341" t="s">
        <v>1163</v>
      </c>
      <c r="B57" s="1339">
        <v>97480</v>
      </c>
      <c r="C57" s="1339">
        <v>29170</v>
      </c>
      <c r="D57" s="1339">
        <v>13290</v>
      </c>
      <c r="E57" s="1339">
        <v>159568</v>
      </c>
      <c r="F57" s="1339">
        <v>11243</v>
      </c>
      <c r="G57" s="1339">
        <v>56698</v>
      </c>
      <c r="H57" s="1339">
        <v>111426</v>
      </c>
      <c r="I57" s="1339">
        <v>5950</v>
      </c>
      <c r="J57" s="1339">
        <v>90475</v>
      </c>
      <c r="K57" s="1339">
        <v>26719</v>
      </c>
      <c r="L57" s="1339">
        <v>53888</v>
      </c>
      <c r="M57" s="1339">
        <v>27637</v>
      </c>
      <c r="N57" s="1339">
        <v>18125</v>
      </c>
      <c r="O57" s="1339">
        <v>14517</v>
      </c>
      <c r="P57" s="1339">
        <v>75352</v>
      </c>
      <c r="Q57" s="878">
        <f>SUM(B57:P57)</f>
        <v>791538</v>
      </c>
      <c r="R57" s="1339">
        <v>33324</v>
      </c>
      <c r="S57" s="1035">
        <f>Q57+R57</f>
        <v>824862</v>
      </c>
      <c r="T57" s="1339">
        <v>53548</v>
      </c>
      <c r="U57" s="1035">
        <f>S57+T57</f>
        <v>878410</v>
      </c>
      <c r="V57" s="1382" t="s">
        <v>1163</v>
      </c>
    </row>
    <row r="58" spans="1:27" s="33" customFormat="1" ht="8.1" customHeight="1">
      <c r="A58" s="1329"/>
      <c r="B58" s="1336">
        <f t="shared" ref="B58:S60" si="8">(B57/$S57)*100</f>
        <v>11.817734360414226</v>
      </c>
      <c r="C58" s="1336">
        <f t="shared" si="8"/>
        <v>3.5363491105178806</v>
      </c>
      <c r="D58" s="1336">
        <f t="shared" si="8"/>
        <v>1.6111785971471591</v>
      </c>
      <c r="E58" s="1336">
        <f t="shared" si="8"/>
        <v>19.344811616973505</v>
      </c>
      <c r="F58" s="1336">
        <f t="shared" si="8"/>
        <v>1.3630158741704674</v>
      </c>
      <c r="G58" s="1336">
        <f t="shared" si="8"/>
        <v>6.8736346200940286</v>
      </c>
      <c r="H58" s="1336">
        <f t="shared" si="8"/>
        <v>13.50844141201801</v>
      </c>
      <c r="I58" s="1336">
        <f t="shared" si="8"/>
        <v>0.72133278051358896</v>
      </c>
      <c r="J58" s="1336">
        <f t="shared" si="8"/>
        <v>10.968501397809574</v>
      </c>
      <c r="K58" s="1336">
        <f t="shared" si="8"/>
        <v>3.2392084979063167</v>
      </c>
      <c r="L58" s="1336">
        <f t="shared" si="8"/>
        <v>6.5329715758514766</v>
      </c>
      <c r="M58" s="1336">
        <f t="shared" si="8"/>
        <v>3.350499841185556</v>
      </c>
      <c r="N58" s="1336">
        <f t="shared" si="8"/>
        <v>2.197337251564504</v>
      </c>
      <c r="O58" s="1336">
        <f t="shared" si="8"/>
        <v>1.7599307520530707</v>
      </c>
      <c r="P58" s="1336">
        <f t="shared" si="8"/>
        <v>9.1351038113041927</v>
      </c>
      <c r="Q58" s="1336">
        <f t="shared" si="8"/>
        <v>95.960051499523559</v>
      </c>
      <c r="R58" s="1336">
        <f t="shared" si="8"/>
        <v>4.0399485004764433</v>
      </c>
      <c r="S58" s="1336">
        <f t="shared" si="8"/>
        <v>100</v>
      </c>
      <c r="T58" s="1374"/>
      <c r="U58" s="1374"/>
      <c r="V58" s="1338"/>
    </row>
    <row r="59" spans="1:27" s="243" customFormat="1" ht="8.1" customHeight="1">
      <c r="A59" s="1341" t="s">
        <v>1295</v>
      </c>
      <c r="B59" s="1339">
        <v>99228</v>
      </c>
      <c r="C59" s="1339">
        <v>30950</v>
      </c>
      <c r="D59" s="1339">
        <v>14997</v>
      </c>
      <c r="E59" s="1339">
        <v>178223</v>
      </c>
      <c r="F59" s="1339">
        <v>12742</v>
      </c>
      <c r="G59" s="1339">
        <v>61552</v>
      </c>
      <c r="H59" s="1339">
        <v>118665</v>
      </c>
      <c r="I59" s="1339">
        <v>6366</v>
      </c>
      <c r="J59" s="1339">
        <v>95972</v>
      </c>
      <c r="K59" s="1339">
        <v>28787</v>
      </c>
      <c r="L59" s="1339">
        <v>56297</v>
      </c>
      <c r="M59" s="1339">
        <v>30796</v>
      </c>
      <c r="N59" s="1339">
        <v>20248</v>
      </c>
      <c r="O59" s="1339">
        <v>15612</v>
      </c>
      <c r="P59" s="1339">
        <v>77838</v>
      </c>
      <c r="Q59" s="878">
        <f>SUM(B59:P59)</f>
        <v>848273</v>
      </c>
      <c r="R59" s="1339">
        <v>35266</v>
      </c>
      <c r="S59" s="1035">
        <f>Q59+R59</f>
        <v>883539</v>
      </c>
      <c r="T59" s="1339">
        <v>50891</v>
      </c>
      <c r="U59" s="1035">
        <f>S59+T59</f>
        <v>934430</v>
      </c>
      <c r="V59" s="1382" t="s">
        <v>1295</v>
      </c>
    </row>
    <row r="60" spans="1:27" s="33" customFormat="1" ht="8.1" customHeight="1">
      <c r="A60" s="1329"/>
      <c r="B60" s="1336">
        <f t="shared" si="8"/>
        <v>11.230743634406631</v>
      </c>
      <c r="C60" s="1336">
        <f t="shared" si="8"/>
        <v>3.5029579905357884</v>
      </c>
      <c r="D60" s="1336">
        <f t="shared" si="8"/>
        <v>1.6973783839762593</v>
      </c>
      <c r="E60" s="1336">
        <f t="shared" si="8"/>
        <v>20.171492146922773</v>
      </c>
      <c r="F60" s="1336">
        <f t="shared" si="8"/>
        <v>1.4421547888661395</v>
      </c>
      <c r="G60" s="1336">
        <f t="shared" si="8"/>
        <v>6.9665289251521436</v>
      </c>
      <c r="H60" s="1336">
        <f t="shared" si="8"/>
        <v>13.430646524941173</v>
      </c>
      <c r="I60" s="1336">
        <f t="shared" si="8"/>
        <v>0.7205114884572158</v>
      </c>
      <c r="J60" s="1336">
        <f t="shared" si="8"/>
        <v>10.862225662930555</v>
      </c>
      <c r="K60" s="1336">
        <f t="shared" si="8"/>
        <v>3.2581470653813809</v>
      </c>
      <c r="L60" s="1336">
        <f t="shared" si="8"/>
        <v>6.3717617445296693</v>
      </c>
      <c r="M60" s="1336">
        <f t="shared" si="8"/>
        <v>3.4855280864794875</v>
      </c>
      <c r="N60" s="1336">
        <f t="shared" si="8"/>
        <v>2.2916928398180501</v>
      </c>
      <c r="O60" s="1336">
        <f t="shared" si="8"/>
        <v>1.7669848190062918</v>
      </c>
      <c r="P60" s="1336">
        <f t="shared" si="8"/>
        <v>8.8097978697035444</v>
      </c>
      <c r="Q60" s="1336">
        <f t="shared" si="8"/>
        <v>96.00855197110711</v>
      </c>
      <c r="R60" s="1336">
        <f t="shared" si="8"/>
        <v>3.9914480288928953</v>
      </c>
      <c r="S60" s="1336">
        <f t="shared" si="8"/>
        <v>100</v>
      </c>
      <c r="T60" s="1374"/>
      <c r="U60" s="1374"/>
      <c r="V60" s="1338"/>
    </row>
    <row r="61" spans="1:27" s="243" customFormat="1" ht="8.1" customHeight="1">
      <c r="A61" s="188" t="s">
        <v>1328</v>
      </c>
      <c r="B61" s="1339">
        <v>101173</v>
      </c>
      <c r="C61" s="1339">
        <v>32879</v>
      </c>
      <c r="D61" s="1339">
        <v>16330</v>
      </c>
      <c r="E61" s="1339">
        <v>197765</v>
      </c>
      <c r="F61" s="1339">
        <v>13820</v>
      </c>
      <c r="G61" s="1339">
        <v>66951</v>
      </c>
      <c r="H61" s="1339">
        <v>127417</v>
      </c>
      <c r="I61" s="1339">
        <v>6820</v>
      </c>
      <c r="J61" s="1339">
        <v>102463</v>
      </c>
      <c r="K61" s="1339">
        <v>31413</v>
      </c>
      <c r="L61" s="1339">
        <v>58997</v>
      </c>
      <c r="M61" s="1339">
        <v>33615</v>
      </c>
      <c r="N61" s="1339">
        <v>22547</v>
      </c>
      <c r="O61" s="1339">
        <v>16804</v>
      </c>
      <c r="P61" s="1339">
        <v>80653</v>
      </c>
      <c r="Q61" s="878">
        <f>SUM(B61:P61)</f>
        <v>909647</v>
      </c>
      <c r="R61" s="1339">
        <v>38252</v>
      </c>
      <c r="S61" s="1035">
        <f>Q61+R61</f>
        <v>947899</v>
      </c>
      <c r="T61" s="1035">
        <v>40731</v>
      </c>
      <c r="U61" s="1035">
        <f>S61+T61</f>
        <v>988630</v>
      </c>
      <c r="V61" s="304" t="s">
        <v>1328</v>
      </c>
    </row>
    <row r="62" spans="1:27" s="33" customFormat="1" ht="8.1" customHeight="1">
      <c r="A62" s="1329"/>
      <c r="B62" s="1336">
        <f t="shared" ref="B62:S68" si="9">(B61/$S61)*100</f>
        <v>10.673394528319999</v>
      </c>
      <c r="C62" s="1336">
        <f t="shared" si="9"/>
        <v>3.4686184920545329</v>
      </c>
      <c r="D62" s="1336">
        <f t="shared" si="9"/>
        <v>1.7227573823793463</v>
      </c>
      <c r="E62" s="1336">
        <f t="shared" si="9"/>
        <v>20.863509719917417</v>
      </c>
      <c r="F62" s="1336">
        <f t="shared" si="9"/>
        <v>1.4579612384863789</v>
      </c>
      <c r="G62" s="1336">
        <f t="shared" si="9"/>
        <v>7.0630942748119789</v>
      </c>
      <c r="H62" s="1336">
        <f t="shared" si="9"/>
        <v>13.442043930840732</v>
      </c>
      <c r="I62" s="1336">
        <f t="shared" si="9"/>
        <v>0.71948593679284401</v>
      </c>
      <c r="J62" s="1336">
        <f t="shared" si="9"/>
        <v>10.809484976774952</v>
      </c>
      <c r="K62" s="1336">
        <f t="shared" si="9"/>
        <v>3.313960664585573</v>
      </c>
      <c r="L62" s="1336">
        <f t="shared" si="9"/>
        <v>6.2239753391447818</v>
      </c>
      <c r="M62" s="1336">
        <f t="shared" si="9"/>
        <v>3.5462638952040249</v>
      </c>
      <c r="N62" s="1336">
        <f t="shared" si="9"/>
        <v>2.3786289467548758</v>
      </c>
      <c r="O62" s="1336">
        <f t="shared" si="9"/>
        <v>1.7727627099511656</v>
      </c>
      <c r="P62" s="1336">
        <f t="shared" si="9"/>
        <v>8.508606929641239</v>
      </c>
      <c r="Q62" s="1336">
        <f t="shared" si="9"/>
        <v>95.964548965659844</v>
      </c>
      <c r="R62" s="1336">
        <f t="shared" si="9"/>
        <v>4.0354510343401566</v>
      </c>
      <c r="S62" s="1336">
        <f t="shared" si="9"/>
        <v>100</v>
      </c>
      <c r="T62" s="1374"/>
      <c r="U62" s="1374"/>
      <c r="V62" s="1338"/>
      <c r="W62" s="68"/>
      <c r="X62" s="68"/>
      <c r="Y62" s="68"/>
      <c r="Z62" s="68"/>
      <c r="AA62" s="68"/>
    </row>
    <row r="63" spans="1:27" s="243" customFormat="1" ht="8.1" customHeight="1">
      <c r="A63" s="188" t="s">
        <v>1467</v>
      </c>
      <c r="B63" s="1339">
        <v>104688</v>
      </c>
      <c r="C63" s="1339">
        <v>34974</v>
      </c>
      <c r="D63" s="1339">
        <v>17474</v>
      </c>
      <c r="E63" s="1339">
        <v>224270</v>
      </c>
      <c r="F63" s="1339">
        <v>15089</v>
      </c>
      <c r="G63" s="1339">
        <v>73595</v>
      </c>
      <c r="H63" s="1339">
        <v>136914</v>
      </c>
      <c r="I63" s="1339">
        <v>7316</v>
      </c>
      <c r="J63" s="1339">
        <v>109208</v>
      </c>
      <c r="K63" s="1339">
        <v>33893</v>
      </c>
      <c r="L63" s="1339">
        <v>61936</v>
      </c>
      <c r="M63" s="1339">
        <v>36463</v>
      </c>
      <c r="N63" s="1339">
        <v>24127</v>
      </c>
      <c r="O63" s="1339">
        <v>17984</v>
      </c>
      <c r="P63" s="1339">
        <v>83598</v>
      </c>
      <c r="Q63" s="878">
        <f>SUM(B63:P63)</f>
        <v>981529</v>
      </c>
      <c r="R63" s="1339">
        <v>40909</v>
      </c>
      <c r="S63" s="1035">
        <f>Q63+R63</f>
        <v>1022438</v>
      </c>
      <c r="T63" s="1035">
        <v>46626</v>
      </c>
      <c r="U63" s="1035">
        <f>S63+T63</f>
        <v>1069064</v>
      </c>
      <c r="V63" s="304" t="s">
        <v>1467</v>
      </c>
      <c r="W63" s="188"/>
      <c r="X63" s="1342"/>
      <c r="Y63" s="188"/>
      <c r="Z63" s="188"/>
      <c r="AA63" s="188"/>
    </row>
    <row r="64" spans="1:27" ht="8.1" customHeight="1">
      <c r="A64" s="1329"/>
      <c r="B64" s="1336">
        <f t="shared" si="9"/>
        <v>10.239056060122961</v>
      </c>
      <c r="C64" s="1336">
        <f t="shared" si="9"/>
        <v>3.4206475111449302</v>
      </c>
      <c r="D64" s="1336">
        <f t="shared" si="9"/>
        <v>1.7090522848329188</v>
      </c>
      <c r="E64" s="1336">
        <f t="shared" si="9"/>
        <v>21.934826365999697</v>
      </c>
      <c r="F64" s="1336">
        <f t="shared" si="9"/>
        <v>1.4757863068469677</v>
      </c>
      <c r="G64" s="1336">
        <f t="shared" si="9"/>
        <v>7.1979914674532841</v>
      </c>
      <c r="H64" s="1336">
        <f t="shared" si="9"/>
        <v>13.390934218016154</v>
      </c>
      <c r="I64" s="1336">
        <f t="shared" si="9"/>
        <v>0.7155446100399242</v>
      </c>
      <c r="J64" s="1336">
        <f t="shared" si="9"/>
        <v>10.681136655718976</v>
      </c>
      <c r="K64" s="1336">
        <f t="shared" si="9"/>
        <v>3.3149198288795998</v>
      </c>
      <c r="L64" s="1336">
        <f t="shared" si="9"/>
        <v>6.05767782496347</v>
      </c>
      <c r="M64" s="1336">
        <f t="shared" si="9"/>
        <v>3.5662798135437059</v>
      </c>
      <c r="N64" s="1336">
        <f t="shared" si="9"/>
        <v>2.3597518871559937</v>
      </c>
      <c r="O64" s="1336">
        <f t="shared" si="9"/>
        <v>1.7589330599997259</v>
      </c>
      <c r="P64" s="1336">
        <f t="shared" si="9"/>
        <v>8.1763392988132289</v>
      </c>
      <c r="Q64" s="1336">
        <f t="shared" si="9"/>
        <v>95.998877193531541</v>
      </c>
      <c r="R64" s="1336">
        <f t="shared" si="9"/>
        <v>4.0011228064684605</v>
      </c>
      <c r="S64" s="1336">
        <f t="shared" si="9"/>
        <v>100</v>
      </c>
      <c r="T64" s="1374"/>
      <c r="U64" s="1374"/>
      <c r="V64" s="1338"/>
      <c r="W64" s="76"/>
      <c r="X64" s="661"/>
      <c r="Y64" s="76"/>
      <c r="Z64" s="76"/>
      <c r="AA64" s="76"/>
    </row>
    <row r="65" spans="1:27" s="478" customFormat="1" ht="9" customHeight="1">
      <c r="A65" s="188" t="s">
        <v>1596</v>
      </c>
      <c r="B65" s="1339">
        <v>107991</v>
      </c>
      <c r="C65" s="1339">
        <v>37146</v>
      </c>
      <c r="D65" s="1339">
        <v>18501</v>
      </c>
      <c r="E65" s="1339">
        <v>256118</v>
      </c>
      <c r="F65" s="1339">
        <v>16535</v>
      </c>
      <c r="G65" s="1339">
        <v>81139</v>
      </c>
      <c r="H65" s="1339">
        <v>148058</v>
      </c>
      <c r="I65" s="1339">
        <v>7870</v>
      </c>
      <c r="J65" s="1339">
        <v>117056</v>
      </c>
      <c r="K65" s="1339">
        <v>36394</v>
      </c>
      <c r="L65" s="1339">
        <v>65173</v>
      </c>
      <c r="M65" s="1339">
        <v>38795</v>
      </c>
      <c r="N65" s="1339">
        <v>25976</v>
      </c>
      <c r="O65" s="1339">
        <v>20105</v>
      </c>
      <c r="P65" s="1339">
        <v>86706</v>
      </c>
      <c r="Q65" s="878">
        <f>SUM(B65:P65)</f>
        <v>1063563</v>
      </c>
      <c r="R65" s="1339">
        <v>42231</v>
      </c>
      <c r="S65" s="1035">
        <f>Q65+R65</f>
        <v>1105794</v>
      </c>
      <c r="T65" s="1339">
        <v>49412</v>
      </c>
      <c r="U65" s="1035">
        <f>S65+T65</f>
        <v>1155206</v>
      </c>
      <c r="V65" s="304" t="s">
        <v>1596</v>
      </c>
      <c r="W65" s="526"/>
      <c r="X65" s="1343"/>
      <c r="Y65" s="526"/>
      <c r="Z65" s="526"/>
      <c r="AA65" s="526"/>
    </row>
    <row r="66" spans="1:27" ht="8.1" customHeight="1">
      <c r="A66" s="1329"/>
      <c r="B66" s="1336">
        <f t="shared" si="9"/>
        <v>9.765923852001368</v>
      </c>
      <c r="C66" s="1336">
        <f t="shared" si="9"/>
        <v>3.3592151883623895</v>
      </c>
      <c r="D66" s="1336">
        <f t="shared" si="9"/>
        <v>1.6730964356833189</v>
      </c>
      <c r="E66" s="1336">
        <f t="shared" si="9"/>
        <v>23.161456835540797</v>
      </c>
      <c r="F66" s="1336">
        <f t="shared" si="9"/>
        <v>1.4953056355885455</v>
      </c>
      <c r="G66" s="1336">
        <f t="shared" si="9"/>
        <v>7.3376234633213784</v>
      </c>
      <c r="H66" s="1336">
        <f t="shared" si="9"/>
        <v>13.389293123312299</v>
      </c>
      <c r="I66" s="1336">
        <f t="shared" si="9"/>
        <v>0.71170579692058378</v>
      </c>
      <c r="J66" s="1336">
        <f t="shared" si="9"/>
        <v>10.585696793435305</v>
      </c>
      <c r="K66" s="1336">
        <f t="shared" si="9"/>
        <v>3.2912097551623538</v>
      </c>
      <c r="L66" s="1336">
        <f t="shared" si="9"/>
        <v>5.8937740664174338</v>
      </c>
      <c r="M66" s="1336">
        <f t="shared" si="9"/>
        <v>3.5083388045151267</v>
      </c>
      <c r="N66" s="1336">
        <f t="shared" si="9"/>
        <v>2.349081293622501</v>
      </c>
      <c r="O66" s="1336">
        <f t="shared" si="9"/>
        <v>1.8181505777748839</v>
      </c>
      <c r="P66" s="1336">
        <f t="shared" si="9"/>
        <v>7.8410626210668539</v>
      </c>
      <c r="Q66" s="1336">
        <f t="shared" si="9"/>
        <v>96.180934242725129</v>
      </c>
      <c r="R66" s="1336">
        <f t="shared" si="9"/>
        <v>3.819065757274863</v>
      </c>
      <c r="S66" s="1336">
        <f t="shared" si="9"/>
        <v>100</v>
      </c>
      <c r="T66" s="1374"/>
      <c r="U66" s="1374"/>
      <c r="V66" s="1338"/>
      <c r="W66" s="76"/>
      <c r="X66" s="661"/>
      <c r="Y66" s="76"/>
      <c r="Z66" s="76"/>
      <c r="AA66" s="76"/>
    </row>
    <row r="67" spans="1:27" s="478" customFormat="1" ht="8.25" customHeight="1">
      <c r="A67" s="1291" t="s">
        <v>1691</v>
      </c>
      <c r="B67" s="1339">
        <v>112423</v>
      </c>
      <c r="C67" s="1339">
        <v>39383</v>
      </c>
      <c r="D67" s="1339">
        <v>18681</v>
      </c>
      <c r="E67" s="1339">
        <v>260728</v>
      </c>
      <c r="F67" s="1339">
        <v>16814</v>
      </c>
      <c r="G67" s="1339">
        <v>88169</v>
      </c>
      <c r="H67" s="1339">
        <v>154029</v>
      </c>
      <c r="I67" s="1339">
        <v>8007</v>
      </c>
      <c r="J67" s="1339">
        <v>121355</v>
      </c>
      <c r="K67" s="1339">
        <v>37521</v>
      </c>
      <c r="L67" s="1339">
        <v>68317</v>
      </c>
      <c r="M67" s="1339">
        <v>40906</v>
      </c>
      <c r="N67" s="1339">
        <v>27290</v>
      </c>
      <c r="O67" s="1339">
        <v>22109</v>
      </c>
      <c r="P67" s="1339">
        <v>89319</v>
      </c>
      <c r="Q67" s="878">
        <f>SUM(B67:P67)</f>
        <v>1105051</v>
      </c>
      <c r="R67" s="1339">
        <v>39546</v>
      </c>
      <c r="S67" s="1035">
        <f>Q67+R67</f>
        <v>1144597</v>
      </c>
      <c r="T67" s="1339">
        <v>55948</v>
      </c>
      <c r="U67" s="1035">
        <f>S67+T67</f>
        <v>1200545</v>
      </c>
      <c r="V67" s="304" t="s">
        <v>1691</v>
      </c>
      <c r="W67" s="526"/>
      <c r="X67" s="526"/>
      <c r="Y67" s="526"/>
      <c r="Z67" s="526"/>
      <c r="AA67" s="526"/>
    </row>
    <row r="68" spans="1:27" ht="6.75" customHeight="1">
      <c r="A68" s="1329"/>
      <c r="B68" s="1336">
        <f>(B67/$S67)*100</f>
        <v>9.822059641952583</v>
      </c>
      <c r="C68" s="1336">
        <f t="shared" si="9"/>
        <v>3.4407743511471724</v>
      </c>
      <c r="D68" s="1336">
        <f t="shared" si="9"/>
        <v>1.6321028274580485</v>
      </c>
      <c r="E68" s="1336">
        <f t="shared" si="9"/>
        <v>22.779021786707464</v>
      </c>
      <c r="F68" s="1336">
        <f t="shared" si="9"/>
        <v>1.4689886484063823</v>
      </c>
      <c r="G68" s="1336">
        <f t="shared" si="9"/>
        <v>7.7030605531903369</v>
      </c>
      <c r="H68" s="1336">
        <f t="shared" si="9"/>
        <v>13.457050822254471</v>
      </c>
      <c r="I68" s="1336">
        <f t="shared" si="9"/>
        <v>0.69954752633459638</v>
      </c>
      <c r="J68" s="1336">
        <f t="shared" si="9"/>
        <v>10.602421638358305</v>
      </c>
      <c r="K68" s="1336">
        <f t="shared" si="9"/>
        <v>3.2780970070688635</v>
      </c>
      <c r="L68" s="1336">
        <f t="shared" si="9"/>
        <v>5.9686509749719772</v>
      </c>
      <c r="M68" s="1336">
        <f t="shared" si="9"/>
        <v>3.5738342840318467</v>
      </c>
      <c r="N68" s="1336">
        <f t="shared" si="9"/>
        <v>2.3842452845848801</v>
      </c>
      <c r="O68" s="1336">
        <f t="shared" si="9"/>
        <v>1.9315968851919059</v>
      </c>
      <c r="P68" s="1336">
        <f t="shared" si="9"/>
        <v>7.8035325970625475</v>
      </c>
      <c r="Q68" s="1336">
        <f t="shared" si="9"/>
        <v>96.544984828721383</v>
      </c>
      <c r="R68" s="1336">
        <f t="shared" si="9"/>
        <v>3.4550151712786246</v>
      </c>
      <c r="S68" s="1336">
        <f t="shared" si="9"/>
        <v>100</v>
      </c>
      <c r="T68" s="1374"/>
      <c r="U68" s="1374"/>
      <c r="V68" s="1338"/>
      <c r="W68" s="1344"/>
      <c r="X68" s="76"/>
    </row>
    <row r="69" spans="1:27" s="478" customFormat="1" ht="10.5" customHeight="1">
      <c r="A69" s="188" t="s">
        <v>2355</v>
      </c>
      <c r="B69" s="1339">
        <v>115405</v>
      </c>
      <c r="C69" s="1339">
        <v>41643</v>
      </c>
      <c r="D69" s="1339">
        <v>18735</v>
      </c>
      <c r="E69" s="1339">
        <v>275764</v>
      </c>
      <c r="F69" s="1339">
        <v>17611</v>
      </c>
      <c r="G69" s="1339">
        <v>95824</v>
      </c>
      <c r="H69" s="1339">
        <v>164109</v>
      </c>
      <c r="I69" s="1339">
        <v>8556</v>
      </c>
      <c r="J69" s="1339">
        <v>128718</v>
      </c>
      <c r="K69" s="1339">
        <v>39139</v>
      </c>
      <c r="L69" s="1339">
        <v>71662</v>
      </c>
      <c r="M69" s="1339">
        <v>43424</v>
      </c>
      <c r="N69" s="1339">
        <v>28807</v>
      </c>
      <c r="O69" s="1339">
        <v>24308</v>
      </c>
      <c r="P69" s="1339">
        <v>92044</v>
      </c>
      <c r="Q69" s="878">
        <f>SUM(B69:P69)</f>
        <v>1165749</v>
      </c>
      <c r="R69" s="1339">
        <v>41497</v>
      </c>
      <c r="S69" s="1035">
        <f>Q69+R69</f>
        <v>1207246</v>
      </c>
      <c r="T69" s="1339">
        <v>74873</v>
      </c>
      <c r="U69" s="1035">
        <f>S69+T69</f>
        <v>1282119</v>
      </c>
      <c r="V69" s="304" t="s">
        <v>2355</v>
      </c>
      <c r="W69" s="526"/>
      <c r="X69" s="526"/>
    </row>
    <row r="70" spans="1:27" ht="8.25" customHeight="1" thickBot="1">
      <c r="A70" s="942"/>
      <c r="B70" s="1375">
        <f>(B69/$S69)*100</f>
        <v>9.5593607268112706</v>
      </c>
      <c r="C70" s="1375">
        <f t="shared" ref="C70:S70" si="10">(C69/$S69)*100</f>
        <v>3.4494212447173158</v>
      </c>
      <c r="D70" s="1375">
        <f t="shared" si="10"/>
        <v>1.5518792358806737</v>
      </c>
      <c r="E70" s="1375">
        <f t="shared" si="10"/>
        <v>22.842403288145082</v>
      </c>
      <c r="F70" s="1375">
        <f t="shared" si="10"/>
        <v>1.4587747650437441</v>
      </c>
      <c r="G70" s="1375">
        <f t="shared" si="10"/>
        <v>7.9374046383255781</v>
      </c>
      <c r="H70" s="1375">
        <f t="shared" si="10"/>
        <v>13.59366690798727</v>
      </c>
      <c r="I70" s="1375">
        <f t="shared" si="10"/>
        <v>0.70872050932452879</v>
      </c>
      <c r="J70" s="1375">
        <f t="shared" si="10"/>
        <v>10.6621185740106</v>
      </c>
      <c r="K70" s="1375">
        <f t="shared" si="10"/>
        <v>3.2420070143119131</v>
      </c>
      <c r="L70" s="1375">
        <f t="shared" si="10"/>
        <v>5.9359898479680195</v>
      </c>
      <c r="M70" s="1375">
        <f t="shared" si="10"/>
        <v>3.5969471010879306</v>
      </c>
      <c r="N70" s="1375">
        <f t="shared" si="10"/>
        <v>2.3861748144123069</v>
      </c>
      <c r="O70" s="1375">
        <f t="shared" si="10"/>
        <v>2.0135084315872653</v>
      </c>
      <c r="P70" s="1375">
        <f t="shared" si="10"/>
        <v>7.6242952968988922</v>
      </c>
      <c r="Q70" s="1375">
        <f t="shared" si="10"/>
        <v>96.562672396512397</v>
      </c>
      <c r="R70" s="1375">
        <f t="shared" si="10"/>
        <v>3.4373276034876077</v>
      </c>
      <c r="S70" s="1375">
        <f t="shared" si="10"/>
        <v>100</v>
      </c>
      <c r="T70" s="1376"/>
      <c r="U70" s="1376"/>
      <c r="V70" s="943"/>
      <c r="W70" s="76"/>
      <c r="X70" s="76"/>
    </row>
    <row r="71" spans="1:27" ht="12.75" customHeight="1">
      <c r="A71" s="83" t="s">
        <v>282</v>
      </c>
      <c r="B71" s="2138" t="s">
        <v>2356</v>
      </c>
      <c r="C71" s="2138"/>
      <c r="D71" s="2138"/>
      <c r="E71" s="2138"/>
      <c r="F71" s="2138"/>
      <c r="G71" s="2138"/>
      <c r="H71" s="2138"/>
      <c r="I71" s="2138"/>
      <c r="J71" s="2138"/>
      <c r="K71" s="2138"/>
      <c r="L71" s="2139" t="s">
        <v>2357</v>
      </c>
      <c r="M71" s="2140"/>
      <c r="N71" s="2140"/>
      <c r="O71" s="2140"/>
      <c r="P71" s="2141"/>
      <c r="Q71" s="2140"/>
      <c r="R71" s="2140"/>
      <c r="S71" s="2140"/>
      <c r="T71" s="2140"/>
      <c r="U71" s="2142" t="s">
        <v>1767</v>
      </c>
      <c r="V71" s="2142"/>
      <c r="W71" s="76"/>
      <c r="X71" s="76"/>
    </row>
    <row r="72" spans="1:27">
      <c r="H72" s="1345"/>
      <c r="W72" s="76"/>
      <c r="X72" s="76"/>
    </row>
    <row r="73" spans="1:27">
      <c r="H73" s="1345"/>
      <c r="W73" s="76"/>
      <c r="X73" s="76"/>
    </row>
    <row r="74" spans="1:27">
      <c r="H74" s="1346"/>
      <c r="W74" s="76"/>
      <c r="X74" s="76"/>
    </row>
    <row r="75" spans="1:27">
      <c r="H75" s="1346"/>
      <c r="W75" s="76"/>
      <c r="X75" s="76"/>
    </row>
    <row r="76" spans="1:27">
      <c r="H76" s="1347"/>
    </row>
    <row r="77" spans="1:27">
      <c r="H77" s="1347"/>
    </row>
    <row r="78" spans="1:27">
      <c r="H78" s="1346"/>
    </row>
    <row r="79" spans="1:27">
      <c r="H79" s="1346"/>
    </row>
    <row r="80" spans="1:27">
      <c r="H80" s="1346"/>
    </row>
    <row r="81" spans="8:8">
      <c r="H81" s="1346"/>
    </row>
    <row r="82" spans="8:8">
      <c r="H82" s="1346"/>
    </row>
    <row r="83" spans="8:8">
      <c r="H83" s="1346"/>
    </row>
    <row r="84" spans="8:8">
      <c r="H84" s="1347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45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abSelected="1" zoomScale="124" zoomScaleNormal="124" workbookViewId="0">
      <selection activeCell="D17" sqref="D17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793</v>
      </c>
      <c r="C2" s="205"/>
      <c r="D2" s="205"/>
    </row>
    <row r="3" spans="2:4">
      <c r="B3" s="42" t="s">
        <v>794</v>
      </c>
      <c r="C3" s="206" t="s">
        <v>1426</v>
      </c>
      <c r="D3" s="201"/>
    </row>
    <row r="4" spans="2:4">
      <c r="B4" s="42" t="s">
        <v>795</v>
      </c>
      <c r="C4" s="206" t="s">
        <v>1388</v>
      </c>
      <c r="D4" s="201"/>
    </row>
    <row r="5" spans="2:4">
      <c r="B5" s="42" t="s">
        <v>796</v>
      </c>
      <c r="C5" s="206" t="s">
        <v>823</v>
      </c>
      <c r="D5" s="201"/>
    </row>
    <row r="6" spans="2:4">
      <c r="B6" s="42" t="s">
        <v>797</v>
      </c>
      <c r="C6" s="206" t="s">
        <v>798</v>
      </c>
      <c r="D6" s="201"/>
    </row>
    <row r="7" spans="2:4">
      <c r="B7" s="42" t="s">
        <v>799</v>
      </c>
      <c r="C7" s="206" t="s">
        <v>1389</v>
      </c>
      <c r="D7" s="201"/>
    </row>
    <row r="8" spans="2:4">
      <c r="B8" s="42" t="s">
        <v>800</v>
      </c>
      <c r="C8" s="206" t="s">
        <v>1390</v>
      </c>
      <c r="D8" s="201"/>
    </row>
    <row r="9" spans="2:4">
      <c r="B9" s="42" t="s">
        <v>801</v>
      </c>
      <c r="C9" s="206" t="s">
        <v>824</v>
      </c>
      <c r="D9" s="201"/>
    </row>
    <row r="10" spans="2:4" s="1120" customFormat="1">
      <c r="B10" s="200" t="s">
        <v>802</v>
      </c>
      <c r="C10" s="905" t="s">
        <v>899</v>
      </c>
      <c r="D10" s="201"/>
    </row>
    <row r="11" spans="2:4" s="1120" customFormat="1">
      <c r="B11" s="200" t="s">
        <v>1189</v>
      </c>
      <c r="C11" s="206" t="s">
        <v>1190</v>
      </c>
      <c r="D11" s="201"/>
    </row>
    <row r="12" spans="2:4" s="1120" customFormat="1">
      <c r="B12" s="200" t="s">
        <v>803</v>
      </c>
      <c r="C12" s="206" t="s">
        <v>804</v>
      </c>
      <c r="D12" s="201"/>
    </row>
    <row r="13" spans="2:4" s="1120" customFormat="1">
      <c r="B13" s="200" t="s">
        <v>805</v>
      </c>
      <c r="C13" s="206" t="s">
        <v>1395</v>
      </c>
      <c r="D13" s="1130"/>
    </row>
    <row r="14" spans="2:4" s="1120" customFormat="1">
      <c r="B14" s="200" t="s">
        <v>763</v>
      </c>
      <c r="C14" s="206" t="s">
        <v>806</v>
      </c>
      <c r="D14" s="201"/>
    </row>
    <row r="15" spans="2:4" s="1120" customFormat="1">
      <c r="B15" s="200" t="s">
        <v>764</v>
      </c>
      <c r="C15" s="206" t="s">
        <v>807</v>
      </c>
      <c r="D15" s="201"/>
    </row>
    <row r="16" spans="2:4" s="1120" customFormat="1">
      <c r="B16" s="200" t="s">
        <v>765</v>
      </c>
      <c r="C16" s="206" t="s">
        <v>808</v>
      </c>
      <c r="D16" s="201"/>
    </row>
    <row r="17" spans="2:4" s="1120" customFormat="1">
      <c r="B17" s="200" t="s">
        <v>766</v>
      </c>
      <c r="C17" s="206" t="s">
        <v>1400</v>
      </c>
      <c r="D17" s="201"/>
    </row>
    <row r="18" spans="2:4" s="1120" customFormat="1">
      <c r="B18" s="200" t="s">
        <v>767</v>
      </c>
      <c r="C18" s="206" t="s">
        <v>809</v>
      </c>
      <c r="D18" s="201"/>
    </row>
    <row r="19" spans="2:4" s="1120" customFormat="1">
      <c r="B19" s="200" t="s">
        <v>1191</v>
      </c>
      <c r="C19" s="206" t="s">
        <v>2374</v>
      </c>
      <c r="D19" s="201"/>
    </row>
    <row r="20" spans="2:4" s="1120" customFormat="1">
      <c r="B20" s="200" t="s">
        <v>1192</v>
      </c>
      <c r="C20" s="206" t="s">
        <v>2373</v>
      </c>
      <c r="D20" s="201"/>
    </row>
    <row r="21" spans="2:4" s="1120" customFormat="1">
      <c r="B21" s="200" t="s">
        <v>1193</v>
      </c>
      <c r="C21" s="206" t="s">
        <v>810</v>
      </c>
      <c r="D21" s="201"/>
    </row>
    <row r="22" spans="2:4" s="1120" customFormat="1">
      <c r="B22" s="200" t="s">
        <v>768</v>
      </c>
      <c r="C22" s="206" t="s">
        <v>1415</v>
      </c>
      <c r="D22" s="201"/>
    </row>
    <row r="23" spans="2:4" s="1120" customFormat="1" ht="12.75" customHeight="1">
      <c r="B23" s="200" t="s">
        <v>769</v>
      </c>
      <c r="C23" s="206" t="s">
        <v>822</v>
      </c>
      <c r="D23" s="201"/>
    </row>
    <row r="24" spans="2:4" s="1120" customFormat="1">
      <c r="B24" s="200" t="s">
        <v>1194</v>
      </c>
      <c r="C24" s="206" t="s">
        <v>811</v>
      </c>
      <c r="D24" s="201"/>
    </row>
    <row r="25" spans="2:4" s="1120" customFormat="1">
      <c r="B25" s="200" t="s">
        <v>1195</v>
      </c>
      <c r="C25" s="206" t="s">
        <v>1416</v>
      </c>
      <c r="D25" s="201"/>
    </row>
    <row r="26" spans="2:4" s="1120" customFormat="1">
      <c r="B26" s="200" t="s">
        <v>770</v>
      </c>
      <c r="C26" s="905" t="s">
        <v>2672</v>
      </c>
      <c r="D26" s="201"/>
    </row>
    <row r="27" spans="2:4" s="1120" customFormat="1">
      <c r="B27" s="200" t="s">
        <v>771</v>
      </c>
      <c r="C27" s="968" t="s">
        <v>2443</v>
      </c>
      <c r="D27" s="201"/>
    </row>
    <row r="28" spans="2:4" s="1120" customFormat="1">
      <c r="B28" s="200" t="s">
        <v>772</v>
      </c>
      <c r="C28" s="905" t="s">
        <v>812</v>
      </c>
      <c r="D28" s="201"/>
    </row>
    <row r="29" spans="2:4" s="1120" customFormat="1">
      <c r="B29" s="200" t="s">
        <v>773</v>
      </c>
      <c r="C29" s="206" t="s">
        <v>813</v>
      </c>
      <c r="D29" s="201"/>
    </row>
    <row r="30" spans="2:4" s="1120" customFormat="1">
      <c r="B30" s="200" t="s">
        <v>774</v>
      </c>
      <c r="C30" s="206" t="s">
        <v>814</v>
      </c>
      <c r="D30" s="201"/>
    </row>
    <row r="31" spans="2:4" s="1120" customFormat="1">
      <c r="B31" s="200" t="s">
        <v>775</v>
      </c>
      <c r="C31" s="206" t="s">
        <v>1424</v>
      </c>
      <c r="D31" s="201"/>
    </row>
    <row r="32" spans="2:4" s="1120" customFormat="1">
      <c r="B32" s="200" t="s">
        <v>776</v>
      </c>
      <c r="C32" s="206" t="s">
        <v>815</v>
      </c>
      <c r="D32" s="201"/>
    </row>
    <row r="33" spans="2:4" s="1120" customFormat="1">
      <c r="B33" s="200" t="s">
        <v>777</v>
      </c>
      <c r="C33" s="206" t="s">
        <v>816</v>
      </c>
      <c r="D33" s="201"/>
    </row>
    <row r="34" spans="2:4" s="1120" customFormat="1">
      <c r="B34" s="200" t="s">
        <v>778</v>
      </c>
      <c r="C34" s="206" t="s">
        <v>817</v>
      </c>
      <c r="D34" s="201"/>
    </row>
    <row r="35" spans="2:4" s="1120" customFormat="1">
      <c r="B35" s="200" t="s">
        <v>779</v>
      </c>
      <c r="C35" s="206" t="s">
        <v>818</v>
      </c>
      <c r="D35" s="201"/>
    </row>
    <row r="36" spans="2:4" s="1120" customFormat="1">
      <c r="B36" s="200" t="s">
        <v>780</v>
      </c>
      <c r="C36" s="206" t="s">
        <v>1423</v>
      </c>
      <c r="D36" s="201"/>
    </row>
    <row r="37" spans="2:4" s="1120" customFormat="1" ht="12" customHeight="1">
      <c r="B37" s="200" t="s">
        <v>781</v>
      </c>
      <c r="C37" s="206" t="s">
        <v>1567</v>
      </c>
      <c r="D37" s="202"/>
    </row>
    <row r="38" spans="2:4">
      <c r="B38" s="200" t="s">
        <v>782</v>
      </c>
      <c r="C38" s="206" t="s">
        <v>1747</v>
      </c>
    </row>
    <row r="39" spans="2:4">
      <c r="B39" s="200" t="s">
        <v>783</v>
      </c>
      <c r="C39" s="206" t="s">
        <v>1599</v>
      </c>
    </row>
    <row r="40" spans="2:4">
      <c r="B40" s="200" t="s">
        <v>784</v>
      </c>
      <c r="C40" s="206" t="s">
        <v>1622</v>
      </c>
    </row>
    <row r="41" spans="2:4">
      <c r="B41" s="200" t="s">
        <v>2248</v>
      </c>
      <c r="C41" s="206" t="s">
        <v>2249</v>
      </c>
    </row>
    <row r="42" spans="2:4" s="1405" customFormat="1">
      <c r="B42" s="200" t="s">
        <v>2510</v>
      </c>
      <c r="C42" s="206" t="s">
        <v>2511</v>
      </c>
    </row>
    <row r="44" spans="2:4">
      <c r="C44" s="206" t="s">
        <v>1430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zoomScale="170" zoomScaleNormal="170" workbookViewId="0">
      <pane ySplit="4" topLeftCell="A32" activePane="bottomLeft" state="frozen"/>
      <selection activeCell="F85" sqref="F85"/>
      <selection pane="bottomLeft" activeCell="H38" sqref="H38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11"/>
      <c r="B1" s="1311"/>
      <c r="C1" s="1312" t="s">
        <v>2392</v>
      </c>
      <c r="D1" s="1312"/>
      <c r="E1" s="2149" t="s">
        <v>2393</v>
      </c>
      <c r="F1" s="2149"/>
      <c r="G1" s="2149"/>
      <c r="H1" s="2149"/>
      <c r="I1" s="2149"/>
      <c r="J1" s="2149"/>
      <c r="K1" s="2149"/>
      <c r="L1" s="2149"/>
      <c r="M1" s="2149"/>
      <c r="N1" s="2148" t="s">
        <v>2325</v>
      </c>
      <c r="O1" s="2148"/>
      <c r="P1" s="2148"/>
      <c r="Q1" s="2148"/>
      <c r="R1" s="2148"/>
      <c r="S1" s="2148"/>
      <c r="T1" s="2148"/>
      <c r="U1" s="2148"/>
      <c r="V1" s="2148"/>
      <c r="W1" s="2148"/>
      <c r="X1" s="2148"/>
      <c r="Y1" s="2143" t="s">
        <v>1200</v>
      </c>
      <c r="Z1" s="2144"/>
      <c r="AA1" s="55"/>
    </row>
    <row r="2" spans="1:27" s="95" customFormat="1" ht="11.25" customHeight="1">
      <c r="A2" s="1148"/>
      <c r="B2" s="1148"/>
      <c r="E2" s="1148"/>
      <c r="F2" s="1148"/>
      <c r="G2" s="1148"/>
      <c r="H2" s="1148"/>
      <c r="I2" s="1148"/>
      <c r="J2" s="2145"/>
      <c r="K2" s="2145"/>
      <c r="L2" s="2145"/>
      <c r="M2" s="96"/>
      <c r="N2" s="96"/>
      <c r="O2" s="96"/>
      <c r="Y2" s="2146" t="s">
        <v>24</v>
      </c>
      <c r="Z2" s="2146"/>
    </row>
    <row r="3" spans="1:27" s="43" customFormat="1" ht="69" customHeight="1">
      <c r="A3" s="2081" t="s">
        <v>524</v>
      </c>
      <c r="B3" s="1292" t="s">
        <v>2326</v>
      </c>
      <c r="C3" s="1292" t="s">
        <v>1404</v>
      </c>
      <c r="D3" s="1292" t="s">
        <v>277</v>
      </c>
      <c r="E3" s="1292" t="s">
        <v>2327</v>
      </c>
      <c r="F3" s="1292" t="s">
        <v>2328</v>
      </c>
      <c r="G3" s="1292" t="s">
        <v>278</v>
      </c>
      <c r="H3" s="1292" t="s">
        <v>1413</v>
      </c>
      <c r="I3" s="1292" t="s">
        <v>2329</v>
      </c>
      <c r="J3" s="1292" t="s">
        <v>2330</v>
      </c>
      <c r="K3" s="1292" t="s">
        <v>2331</v>
      </c>
      <c r="L3" s="1292" t="s">
        <v>2332</v>
      </c>
      <c r="M3" s="1292" t="s">
        <v>2333</v>
      </c>
      <c r="N3" s="1292" t="s">
        <v>2334</v>
      </c>
      <c r="O3" s="1292" t="s">
        <v>2335</v>
      </c>
      <c r="P3" s="1292" t="s">
        <v>1409</v>
      </c>
      <c r="Q3" s="1292" t="s">
        <v>280</v>
      </c>
      <c r="R3" s="1292" t="s">
        <v>2336</v>
      </c>
      <c r="S3" s="1292" t="s">
        <v>2337</v>
      </c>
      <c r="T3" s="1292" t="s">
        <v>2338</v>
      </c>
      <c r="U3" s="1292" t="s">
        <v>2339</v>
      </c>
      <c r="V3" s="1292" t="s">
        <v>2340</v>
      </c>
      <c r="W3" s="1292" t="s">
        <v>2341</v>
      </c>
      <c r="X3" s="1292" t="s">
        <v>276</v>
      </c>
      <c r="Y3" s="1299" t="s">
        <v>2342</v>
      </c>
      <c r="Z3" s="2081" t="s">
        <v>524</v>
      </c>
    </row>
    <row r="4" spans="1:27" s="51" customFormat="1" ht="11.25" customHeight="1">
      <c r="A4" s="2010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082"/>
    </row>
    <row r="5" spans="1:27" s="1314" customFormat="1" ht="19.5" customHeight="1">
      <c r="A5" s="2147" t="s">
        <v>2343</v>
      </c>
      <c r="B5" s="2147"/>
      <c r="C5" s="2147"/>
      <c r="D5" s="1313"/>
      <c r="E5" s="1313"/>
      <c r="F5" s="1313"/>
      <c r="G5" s="1313"/>
      <c r="H5" s="1313"/>
      <c r="I5" s="1313"/>
      <c r="J5" s="1313"/>
      <c r="K5" s="1313"/>
      <c r="L5" s="1313"/>
      <c r="M5" s="1313"/>
      <c r="N5" s="1313"/>
      <c r="O5" s="1313"/>
      <c r="P5" s="1313"/>
      <c r="Q5" s="1313"/>
      <c r="R5" s="1313"/>
      <c r="S5" s="1313"/>
      <c r="T5" s="1313"/>
      <c r="U5" s="1313"/>
      <c r="V5" s="1313"/>
      <c r="W5" s="1313"/>
      <c r="X5" s="1313"/>
      <c r="Y5" s="1313"/>
      <c r="Z5" s="237"/>
    </row>
    <row r="6" spans="1:27" ht="17.100000000000001" customHeight="1">
      <c r="A6" s="438" t="s">
        <v>1295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1295</v>
      </c>
    </row>
    <row r="7" spans="1:27" s="177" customFormat="1" ht="17.100000000000001" customHeight="1">
      <c r="A7" s="424"/>
      <c r="B7" s="1315">
        <f t="shared" ref="B7:W7" si="0">(B6/$W6)*100</f>
        <v>13.464792966252869</v>
      </c>
      <c r="C7" s="1315">
        <f t="shared" si="0"/>
        <v>1.592237480977406</v>
      </c>
      <c r="D7" s="1315">
        <f t="shared" si="0"/>
        <v>20.347949076534057</v>
      </c>
      <c r="E7" s="1315">
        <f t="shared" si="0"/>
        <v>1.1829054624652124</v>
      </c>
      <c r="F7" s="1315">
        <f t="shared" si="0"/>
        <v>0.10130931327893879</v>
      </c>
      <c r="G7" s="1315">
        <f t="shared" si="0"/>
        <v>7.8447515464965427</v>
      </c>
      <c r="H7" s="1315">
        <f t="shared" si="0"/>
        <v>13.898597229722601</v>
      </c>
      <c r="I7" s="1315">
        <f t="shared" si="0"/>
        <v>7.6128914776370404</v>
      </c>
      <c r="J7" s="1315">
        <f t="shared" si="0"/>
        <v>1.1506772501097158</v>
      </c>
      <c r="K7" s="1315">
        <f t="shared" si="0"/>
        <v>1.1962977539970931</v>
      </c>
      <c r="L7" s="1315">
        <f t="shared" si="0"/>
        <v>3.1347596926709964</v>
      </c>
      <c r="M7" s="1315">
        <f t="shared" si="0"/>
        <v>9.2738728435640638</v>
      </c>
      <c r="N7" s="1315">
        <f t="shared" si="0"/>
        <v>0.18816651339397761</v>
      </c>
      <c r="O7" s="1315">
        <f t="shared" si="0"/>
        <v>0.68618633302197063</v>
      </c>
      <c r="P7" s="1315">
        <f t="shared" si="0"/>
        <v>3.2146317047568167</v>
      </c>
      <c r="Q7" s="1315">
        <f t="shared" si="0"/>
        <v>2.6244555768536881</v>
      </c>
      <c r="R7" s="1315">
        <f>(R6/$W6)*100</f>
        <v>2.6302845958297945</v>
      </c>
      <c r="S7" s="1315">
        <f>(S6/$W6)*100</f>
        <v>0.14485834761282404</v>
      </c>
      <c r="T7" s="1315">
        <f t="shared" si="0"/>
        <v>5.4521078647918104</v>
      </c>
      <c r="U7" s="1315">
        <f t="shared" si="0"/>
        <v>95.741733029967421</v>
      </c>
      <c r="V7" s="1315">
        <f t="shared" si="0"/>
        <v>4.2582669700325804</v>
      </c>
      <c r="W7" s="1315">
        <f t="shared" si="0"/>
        <v>100</v>
      </c>
      <c r="X7" s="280"/>
      <c r="Y7" s="280"/>
      <c r="Z7" s="419"/>
    </row>
    <row r="8" spans="1:27" ht="17.100000000000001" customHeight="1">
      <c r="A8" s="438" t="s">
        <v>1328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1328</v>
      </c>
    </row>
    <row r="9" spans="1:27" s="177" customFormat="1" ht="17.100000000000001" customHeight="1">
      <c r="A9" s="424"/>
      <c r="B9" s="1315">
        <f t="shared" ref="B9:W9" si="1">(B8/$W8)*100</f>
        <v>12.95728146066763</v>
      </c>
      <c r="C9" s="1315">
        <f t="shared" si="1"/>
        <v>1.7202546823633882</v>
      </c>
      <c r="D9" s="1315">
        <f t="shared" si="1"/>
        <v>20.075058931543897</v>
      </c>
      <c r="E9" s="1315">
        <f t="shared" si="1"/>
        <v>1.2577512350993221</v>
      </c>
      <c r="F9" s="1315">
        <f t="shared" si="1"/>
        <v>9.7362353596147158E-2</v>
      </c>
      <c r="G9" s="1315">
        <f t="shared" si="1"/>
        <v>8.0978545433111897</v>
      </c>
      <c r="H9" s="1315">
        <f t="shared" si="1"/>
        <v>13.966829682997986</v>
      </c>
      <c r="I9" s="1315">
        <f t="shared" si="1"/>
        <v>7.6892596373886928</v>
      </c>
      <c r="J9" s="1315">
        <f t="shared" si="1"/>
        <v>1.1474387849797811</v>
      </c>
      <c r="K9" s="1315">
        <f t="shared" si="1"/>
        <v>1.1729947894146513</v>
      </c>
      <c r="L9" s="1315">
        <f t="shared" si="1"/>
        <v>3.1083243306499528</v>
      </c>
      <c r="M9" s="1315">
        <f t="shared" si="1"/>
        <v>9.2135419288415861</v>
      </c>
      <c r="N9" s="1315">
        <f t="shared" si="1"/>
        <v>0.18422695452881224</v>
      </c>
      <c r="O9" s="1315">
        <f t="shared" si="1"/>
        <v>0.67641666957075808</v>
      </c>
      <c r="P9" s="1315">
        <f t="shared" si="1"/>
        <v>3.3757588821098077</v>
      </c>
      <c r="Q9" s="1315">
        <f t="shared" si="1"/>
        <v>2.6183288180089805</v>
      </c>
      <c r="R9" s="1315">
        <f t="shared" si="1"/>
        <v>2.7326424607420621</v>
      </c>
      <c r="S9" s="1315">
        <f t="shared" si="1"/>
        <v>0.14477433488777516</v>
      </c>
      <c r="T9" s="1315">
        <f t="shared" si="1"/>
        <v>5.3533805990344652</v>
      </c>
      <c r="U9" s="1315">
        <f t="shared" si="1"/>
        <v>95.589481079736885</v>
      </c>
      <c r="V9" s="1315">
        <f t="shared" si="1"/>
        <v>4.4105189202631152</v>
      </c>
      <c r="W9" s="1315">
        <f t="shared" si="1"/>
        <v>100</v>
      </c>
      <c r="X9" s="280"/>
      <c r="Y9" s="280"/>
      <c r="Z9" s="419"/>
    </row>
    <row r="10" spans="1:27" ht="17.100000000000001" customHeight="1">
      <c r="A10" s="438" t="s">
        <v>1467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1467</v>
      </c>
    </row>
    <row r="11" spans="1:27" s="177" customFormat="1" ht="17.100000000000001" customHeight="1">
      <c r="A11" s="424"/>
      <c r="B11" s="1315">
        <f t="shared" ref="B11:W11" si="2">(B10/$W10)*100</f>
        <v>12.480070080568405</v>
      </c>
      <c r="C11" s="1315">
        <f t="shared" si="2"/>
        <v>1.6775990736755317</v>
      </c>
      <c r="D11" s="1315">
        <f t="shared" si="2"/>
        <v>20.802289136905664</v>
      </c>
      <c r="E11" s="1315">
        <f t="shared" si="2"/>
        <v>1.2361475693076209</v>
      </c>
      <c r="F11" s="1315">
        <f t="shared" si="2"/>
        <v>9.4231387122392429E-2</v>
      </c>
      <c r="G11" s="1315">
        <f t="shared" si="2"/>
        <v>8.1725173231162813</v>
      </c>
      <c r="H11" s="1315">
        <f t="shared" si="2"/>
        <v>14.159942529084041</v>
      </c>
      <c r="I11" s="1315">
        <f t="shared" si="2"/>
        <v>7.4947863937000232</v>
      </c>
      <c r="J11" s="1315">
        <f t="shared" si="2"/>
        <v>1.1407037156038387</v>
      </c>
      <c r="K11" s="1315">
        <f t="shared" si="2"/>
        <v>1.116227046492031</v>
      </c>
      <c r="L11" s="1315">
        <f t="shared" si="2"/>
        <v>3.0964880905470045</v>
      </c>
      <c r="M11" s="1315">
        <f t="shared" si="2"/>
        <v>8.9415621419434625</v>
      </c>
      <c r="N11" s="1315">
        <f t="shared" si="2"/>
        <v>0.17861148327099235</v>
      </c>
      <c r="O11" s="1315">
        <f t="shared" si="2"/>
        <v>0.65431516856316652</v>
      </c>
      <c r="P11" s="1315">
        <f t="shared" si="2"/>
        <v>3.4194967657453939</v>
      </c>
      <c r="Q11" s="1315">
        <f t="shared" si="2"/>
        <v>2.5827053766830552</v>
      </c>
      <c r="R11" s="1315">
        <f t="shared" si="2"/>
        <v>2.7797690857395745</v>
      </c>
      <c r="S11" s="1315">
        <f t="shared" si="2"/>
        <v>0.14291949828132863</v>
      </c>
      <c r="T11" s="1315">
        <f t="shared" si="2"/>
        <v>5.1826505125702473</v>
      </c>
      <c r="U11" s="1315">
        <f t="shared" si="2"/>
        <v>95.353032378920062</v>
      </c>
      <c r="V11" s="1315">
        <f t="shared" si="2"/>
        <v>4.646967621079944</v>
      </c>
      <c r="W11" s="1315">
        <f t="shared" si="2"/>
        <v>100</v>
      </c>
      <c r="X11" s="280"/>
      <c r="Y11" s="280"/>
      <c r="Z11" s="419"/>
    </row>
    <row r="12" spans="1:27" ht="17.100000000000001" customHeight="1">
      <c r="A12" s="438" t="s">
        <v>1596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1596</v>
      </c>
    </row>
    <row r="13" spans="1:27" s="177" customFormat="1" ht="17.100000000000001" customHeight="1">
      <c r="A13" s="424"/>
      <c r="B13" s="1315">
        <f t="shared" ref="B13:W13" si="3">(B12/$W12)*100</f>
        <v>11.975317718976129</v>
      </c>
      <c r="C13" s="1315">
        <f t="shared" si="3"/>
        <v>1.7824924807610145</v>
      </c>
      <c r="D13" s="1315">
        <f t="shared" si="3"/>
        <v>21.20793012469553</v>
      </c>
      <c r="E13" s="1315">
        <f t="shared" si="3"/>
        <v>1.2923909062355896</v>
      </c>
      <c r="F13" s="1315">
        <f t="shared" si="3"/>
        <v>9.0600180454959281E-2</v>
      </c>
      <c r="G13" s="1315">
        <f t="shared" si="3"/>
        <v>8.4791129991607459</v>
      </c>
      <c r="H13" s="1315">
        <f t="shared" si="3"/>
        <v>14.176014398449022</v>
      </c>
      <c r="I13" s="1315">
        <f t="shared" si="3"/>
        <v>7.4442583575617105</v>
      </c>
      <c r="J13" s="1315">
        <f t="shared" si="3"/>
        <v>1.1367374922452818</v>
      </c>
      <c r="K13" s="1315">
        <f t="shared" si="3"/>
        <v>1.0911324649856053</v>
      </c>
      <c r="L13" s="1315">
        <f t="shared" si="3"/>
        <v>3.1610789214309412</v>
      </c>
      <c r="M13" s="1315">
        <f t="shared" si="3"/>
        <v>8.8335175943585291</v>
      </c>
      <c r="N13" s="1315">
        <f t="shared" si="3"/>
        <v>0.17547432108310923</v>
      </c>
      <c r="O13" s="1315">
        <f t="shared" si="3"/>
        <v>0.67821384149847408</v>
      </c>
      <c r="P13" s="1315">
        <f t="shared" si="3"/>
        <v>3.3545106455212035</v>
      </c>
      <c r="Q13" s="1315">
        <f t="shared" si="3"/>
        <v>2.6075843261010179</v>
      </c>
      <c r="R13" s="1315">
        <f t="shared" si="3"/>
        <v>2.9413209668943416</v>
      </c>
      <c r="S13" s="1315">
        <f t="shared" si="3"/>
        <v>0.14379475162709318</v>
      </c>
      <c r="T13" s="1315">
        <f t="shared" si="3"/>
        <v>5.1056623757508648</v>
      </c>
      <c r="U13" s="1315">
        <f t="shared" si="3"/>
        <v>95.677144867791171</v>
      </c>
      <c r="V13" s="1315">
        <f t="shared" si="3"/>
        <v>4.3228551322088391</v>
      </c>
      <c r="W13" s="1315">
        <f t="shared" si="3"/>
        <v>100</v>
      </c>
      <c r="X13" s="280"/>
      <c r="Y13" s="280"/>
      <c r="Z13" s="419"/>
    </row>
    <row r="14" spans="1:27" ht="17.100000000000001" customHeight="1">
      <c r="A14" s="438" t="s">
        <v>1691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1691</v>
      </c>
    </row>
    <row r="15" spans="1:27" s="177" customFormat="1" ht="17.100000000000001" customHeight="1">
      <c r="A15" s="424"/>
      <c r="B15" s="1315">
        <f t="shared" ref="B15:W15" si="4">(B14/$W14)*100</f>
        <v>11.999675757750667</v>
      </c>
      <c r="C15" s="1315">
        <f t="shared" si="4"/>
        <v>1.7418243168439749</v>
      </c>
      <c r="D15" s="1315">
        <f t="shared" si="4"/>
        <v>20.598340497888483</v>
      </c>
      <c r="E15" s="1315">
        <f t="shared" si="4"/>
        <v>1.4043032750044238</v>
      </c>
      <c r="F15" s="1315">
        <f t="shared" si="4"/>
        <v>8.7084907627231173E-2</v>
      </c>
      <c r="G15" s="1315">
        <f t="shared" si="4"/>
        <v>9.0800446243126807</v>
      </c>
      <c r="H15" s="1315">
        <f t="shared" si="4"/>
        <v>14.059654896483769</v>
      </c>
      <c r="I15" s="1315">
        <f t="shared" si="4"/>
        <v>7.3254777132342257</v>
      </c>
      <c r="J15" s="1315">
        <f t="shared" si="4"/>
        <v>1.1359518102842197</v>
      </c>
      <c r="K15" s="1315">
        <f t="shared" si="4"/>
        <v>1.1073125143314759</v>
      </c>
      <c r="L15" s="1315">
        <f t="shared" si="4"/>
        <v>3.2555751215356468</v>
      </c>
      <c r="M15" s="1315">
        <f t="shared" si="4"/>
        <v>9.0838610943680571</v>
      </c>
      <c r="N15" s="1315">
        <f t="shared" si="4"/>
        <v>0.17839631928273073</v>
      </c>
      <c r="O15" s="1315">
        <f t="shared" si="4"/>
        <v>0.72560242664413377</v>
      </c>
      <c r="P15" s="1315">
        <f t="shared" si="4"/>
        <v>3.3737910700278095</v>
      </c>
      <c r="Q15" s="1315">
        <f t="shared" si="4"/>
        <v>2.701272272335733</v>
      </c>
      <c r="R15" s="1315">
        <f t="shared" si="4"/>
        <v>3.2021129996855358</v>
      </c>
      <c r="S15" s="1315">
        <f t="shared" si="4"/>
        <v>0.15016705730287852</v>
      </c>
      <c r="T15" s="1315">
        <f t="shared" si="4"/>
        <v>5.2121310758755248</v>
      </c>
      <c r="U15" s="1315">
        <f t="shared" si="4"/>
        <v>96.42257975081921</v>
      </c>
      <c r="V15" s="1315">
        <f t="shared" si="4"/>
        <v>3.5774202491807996</v>
      </c>
      <c r="W15" s="1315">
        <f t="shared" si="4"/>
        <v>100</v>
      </c>
      <c r="X15" s="280"/>
      <c r="Y15" s="280"/>
      <c r="Z15" s="419"/>
    </row>
    <row r="16" spans="1:27" ht="17.100000000000001" customHeight="1">
      <c r="A16" s="438" t="s">
        <v>1760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1760</v>
      </c>
    </row>
    <row r="17" spans="1:26" s="177" customFormat="1" ht="17.100000000000001" customHeight="1">
      <c r="A17" s="424"/>
      <c r="B17" s="1315">
        <f t="shared" ref="B17:W19" si="5">(B16/$W16)*100</f>
        <v>11.632846437226378</v>
      </c>
      <c r="C17" s="1315">
        <f t="shared" si="5"/>
        <v>1.6741898795672183</v>
      </c>
      <c r="D17" s="1315">
        <f t="shared" si="5"/>
        <v>21.235685948470124</v>
      </c>
      <c r="E17" s="1315">
        <f t="shared" si="5"/>
        <v>1.2719446714548954</v>
      </c>
      <c r="F17" s="1315">
        <f t="shared" si="5"/>
        <v>8.4074913920941824E-2</v>
      </c>
      <c r="G17" s="1315">
        <f t="shared" si="5"/>
        <v>9.0502339112539421</v>
      </c>
      <c r="H17" s="1315">
        <f t="shared" si="5"/>
        <v>14.097051570951663</v>
      </c>
      <c r="I17" s="1315">
        <f t="shared" si="5"/>
        <v>7.2578349293308992</v>
      </c>
      <c r="J17" s="1315">
        <f t="shared" si="5"/>
        <v>1.1290343140656933</v>
      </c>
      <c r="K17" s="1315">
        <f t="shared" si="5"/>
        <v>1.0891213916551115</v>
      </c>
      <c r="L17" s="1315">
        <f t="shared" si="5"/>
        <v>3.2652962946701094</v>
      </c>
      <c r="M17" s="1315">
        <f t="shared" si="5"/>
        <v>8.8671840144355052</v>
      </c>
      <c r="N17" s="1315">
        <f t="shared" si="5"/>
        <v>0.17769606975271834</v>
      </c>
      <c r="O17" s="1315">
        <f t="shared" si="5"/>
        <v>0.76874158153184602</v>
      </c>
      <c r="P17" s="1315">
        <f t="shared" si="5"/>
        <v>3.3141605893175572</v>
      </c>
      <c r="Q17" s="1315">
        <f t="shared" si="5"/>
        <v>2.709263112273153</v>
      </c>
      <c r="R17" s="1315">
        <f t="shared" si="5"/>
        <v>3.3567645888246651</v>
      </c>
      <c r="S17" s="1315">
        <f t="shared" si="5"/>
        <v>0.15129518707943068</v>
      </c>
      <c r="T17" s="1315">
        <f t="shared" si="5"/>
        <v>5.1180320578100016</v>
      </c>
      <c r="U17" s="1315">
        <f t="shared" si="5"/>
        <v>96.250451463591844</v>
      </c>
      <c r="V17" s="1315">
        <f t="shared" si="5"/>
        <v>3.7495485364081489</v>
      </c>
      <c r="W17" s="1315">
        <f t="shared" si="5"/>
        <v>100</v>
      </c>
      <c r="X17" s="280"/>
      <c r="Y17" s="280"/>
      <c r="Z17" s="419"/>
    </row>
    <row r="18" spans="1:26" s="177" customFormat="1" ht="17.100000000000001" customHeight="1">
      <c r="A18" s="438" t="s">
        <v>2431</v>
      </c>
      <c r="B18" s="324">
        <v>439835</v>
      </c>
      <c r="C18" s="324">
        <v>58186</v>
      </c>
      <c r="D18" s="324">
        <v>876662</v>
      </c>
      <c r="E18" s="324">
        <v>48598</v>
      </c>
      <c r="F18" s="324">
        <v>3410</v>
      </c>
      <c r="G18" s="324">
        <v>367257</v>
      </c>
      <c r="H18" s="324">
        <v>572473</v>
      </c>
      <c r="I18" s="324">
        <v>284986</v>
      </c>
      <c r="J18" s="324">
        <v>44291</v>
      </c>
      <c r="K18" s="324">
        <v>41807</v>
      </c>
      <c r="L18" s="324">
        <v>130540</v>
      </c>
      <c r="M18" s="324">
        <v>335147</v>
      </c>
      <c r="N18" s="324">
        <v>6935</v>
      </c>
      <c r="O18" s="324">
        <v>30830</v>
      </c>
      <c r="P18" s="324">
        <v>127665</v>
      </c>
      <c r="Q18" s="324">
        <v>107586</v>
      </c>
      <c r="R18" s="324">
        <v>136910</v>
      </c>
      <c r="S18" s="324">
        <v>6027</v>
      </c>
      <c r="T18" s="324">
        <v>198352</v>
      </c>
      <c r="U18" s="322">
        <f>SUM(B18:T18)</f>
        <v>3817497</v>
      </c>
      <c r="V18" s="322">
        <v>158965</v>
      </c>
      <c r="W18" s="322">
        <f>U18+V18</f>
        <v>3976462</v>
      </c>
      <c r="X18" s="322">
        <v>147608.9</v>
      </c>
      <c r="Y18" s="322">
        <f>W18+X18</f>
        <v>4124070.9</v>
      </c>
      <c r="Z18" s="385" t="s">
        <v>2431</v>
      </c>
    </row>
    <row r="19" spans="1:26" s="177" customFormat="1" ht="17.100000000000001" customHeight="1">
      <c r="A19" s="424"/>
      <c r="B19" s="1315">
        <f t="shared" si="5"/>
        <v>11.060963238175042</v>
      </c>
      <c r="C19" s="1315">
        <f t="shared" si="5"/>
        <v>1.4632605567461729</v>
      </c>
      <c r="D19" s="1315">
        <f t="shared" si="5"/>
        <v>22.046281342560295</v>
      </c>
      <c r="E19" s="1315">
        <f t="shared" si="5"/>
        <v>1.2221416927912299</v>
      </c>
      <c r="F19" s="1315">
        <f t="shared" si="5"/>
        <v>8.5754623079511386E-2</v>
      </c>
      <c r="G19" s="1315">
        <f t="shared" si="5"/>
        <v>9.2357729056633762</v>
      </c>
      <c r="H19" s="1315">
        <f t="shared" si="5"/>
        <v>14.396541448151648</v>
      </c>
      <c r="I19" s="1315">
        <f t="shared" si="5"/>
        <v>7.1668231709494519</v>
      </c>
      <c r="J19" s="1315">
        <f t="shared" si="5"/>
        <v>1.1138293286846448</v>
      </c>
      <c r="K19" s="1315">
        <f t="shared" si="5"/>
        <v>1.0513617381481326</v>
      </c>
      <c r="L19" s="1315">
        <f t="shared" si="5"/>
        <v>3.2828177409968964</v>
      </c>
      <c r="M19" s="1315">
        <f t="shared" si="5"/>
        <v>8.4282711616507342</v>
      </c>
      <c r="N19" s="1315">
        <f t="shared" si="5"/>
        <v>0.17440126423941685</v>
      </c>
      <c r="O19" s="1315">
        <f t="shared" si="5"/>
        <v>0.77531232537869088</v>
      </c>
      <c r="P19" s="1315">
        <f t="shared" si="5"/>
        <v>3.2105172889870444</v>
      </c>
      <c r="Q19" s="1315">
        <f t="shared" si="5"/>
        <v>2.7055709321502381</v>
      </c>
      <c r="R19" s="1315">
        <f t="shared" si="5"/>
        <v>3.4430103946674202</v>
      </c>
      <c r="S19" s="1315">
        <f t="shared" si="5"/>
        <v>0.15156689539595752</v>
      </c>
      <c r="T19" s="1315">
        <f t="shared" si="5"/>
        <v>4.9881527850637077</v>
      </c>
      <c r="U19" s="1315">
        <f t="shared" si="5"/>
        <v>96.002350833479611</v>
      </c>
      <c r="V19" s="1315">
        <f t="shared" si="5"/>
        <v>3.9976491665203895</v>
      </c>
      <c r="W19" s="1315">
        <f>(W18/$W18)*100</f>
        <v>100</v>
      </c>
      <c r="X19" s="280"/>
      <c r="Y19" s="280"/>
      <c r="Z19" s="419"/>
    </row>
    <row r="20" spans="1:26" ht="17.100000000000001" customHeight="1">
      <c r="A20" s="1298" t="s">
        <v>2344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322"/>
      <c r="Y20" s="322"/>
      <c r="Z20" s="385"/>
    </row>
    <row r="21" spans="1:26" s="177" customFormat="1" ht="17.100000000000001" customHeight="1">
      <c r="A21" s="424" t="s">
        <v>1295</v>
      </c>
      <c r="B21" s="280">
        <v>279505</v>
      </c>
      <c r="C21" s="280">
        <v>33052</v>
      </c>
      <c r="D21" s="280">
        <v>422387</v>
      </c>
      <c r="E21" s="280">
        <v>24555</v>
      </c>
      <c r="F21" s="280">
        <v>2103</v>
      </c>
      <c r="G21" s="280">
        <v>162843</v>
      </c>
      <c r="H21" s="280">
        <v>288510</v>
      </c>
      <c r="I21" s="280">
        <v>158030</v>
      </c>
      <c r="J21" s="280">
        <v>23886</v>
      </c>
      <c r="K21" s="280">
        <v>24833</v>
      </c>
      <c r="L21" s="280">
        <v>65072</v>
      </c>
      <c r="M21" s="280">
        <v>192509</v>
      </c>
      <c r="N21" s="280">
        <v>3906</v>
      </c>
      <c r="O21" s="280">
        <v>14244</v>
      </c>
      <c r="P21" s="280">
        <v>66730</v>
      </c>
      <c r="Q21" s="280">
        <v>54479</v>
      </c>
      <c r="R21" s="280">
        <v>54600</v>
      </c>
      <c r="S21" s="280">
        <v>3007</v>
      </c>
      <c r="T21" s="280">
        <v>113176</v>
      </c>
      <c r="U21" s="280">
        <f>SUM(B21:T21)</f>
        <v>1987427</v>
      </c>
      <c r="V21" s="280">
        <v>88394</v>
      </c>
      <c r="W21" s="280">
        <f>U21+V21</f>
        <v>2075821</v>
      </c>
      <c r="X21" s="280">
        <v>97254</v>
      </c>
      <c r="Y21" s="280">
        <f>W21+X21</f>
        <v>2173075</v>
      </c>
      <c r="Z21" s="419" t="s">
        <v>1295</v>
      </c>
    </row>
    <row r="22" spans="1:26" ht="17.100000000000001" customHeight="1">
      <c r="A22" s="438"/>
      <c r="B22" s="666">
        <f t="shared" ref="B22:W22" si="6">(B21/$W21)*100</f>
        <v>13.464792966252869</v>
      </c>
      <c r="C22" s="666">
        <f t="shared" si="6"/>
        <v>1.592237480977406</v>
      </c>
      <c r="D22" s="666">
        <f t="shared" si="6"/>
        <v>20.347949076534057</v>
      </c>
      <c r="E22" s="666">
        <f t="shared" si="6"/>
        <v>1.1829054624652124</v>
      </c>
      <c r="F22" s="666">
        <f t="shared" si="6"/>
        <v>0.10130931327893879</v>
      </c>
      <c r="G22" s="666">
        <f t="shared" si="6"/>
        <v>7.8447515464965427</v>
      </c>
      <c r="H22" s="666">
        <f t="shared" si="6"/>
        <v>13.898597229722601</v>
      </c>
      <c r="I22" s="666">
        <f t="shared" si="6"/>
        <v>7.6128914776370404</v>
      </c>
      <c r="J22" s="666">
        <f t="shared" si="6"/>
        <v>1.1506772501097158</v>
      </c>
      <c r="K22" s="666">
        <f t="shared" si="6"/>
        <v>1.1962977539970931</v>
      </c>
      <c r="L22" s="666">
        <f t="shared" si="6"/>
        <v>3.1347596926709964</v>
      </c>
      <c r="M22" s="666">
        <f t="shared" si="6"/>
        <v>9.2738728435640638</v>
      </c>
      <c r="N22" s="666">
        <f t="shared" si="6"/>
        <v>0.18816651339397761</v>
      </c>
      <c r="O22" s="666">
        <f t="shared" si="6"/>
        <v>0.68618633302197063</v>
      </c>
      <c r="P22" s="666">
        <f t="shared" si="6"/>
        <v>3.2146317047568167</v>
      </c>
      <c r="Q22" s="666">
        <f t="shared" si="6"/>
        <v>2.6244555768536881</v>
      </c>
      <c r="R22" s="666">
        <f>(R21/$W21)*100</f>
        <v>2.6302845958297945</v>
      </c>
      <c r="S22" s="666">
        <f>(S21/$W21)*100</f>
        <v>0.14485834761282404</v>
      </c>
      <c r="T22" s="666">
        <f t="shared" si="6"/>
        <v>5.4521078647918104</v>
      </c>
      <c r="U22" s="666">
        <f t="shared" si="6"/>
        <v>95.741733029967421</v>
      </c>
      <c r="V22" s="666">
        <f t="shared" si="6"/>
        <v>4.2582669700325804</v>
      </c>
      <c r="W22" s="666">
        <f t="shared" si="6"/>
        <v>100</v>
      </c>
      <c r="X22" s="322"/>
      <c r="Y22" s="322"/>
      <c r="Z22" s="385"/>
    </row>
    <row r="23" spans="1:26" s="177" customFormat="1" ht="17.100000000000001" customHeight="1">
      <c r="A23" s="424" t="s">
        <v>1328</v>
      </c>
      <c r="B23" s="280">
        <v>288438</v>
      </c>
      <c r="C23" s="280">
        <v>38766</v>
      </c>
      <c r="D23" s="280">
        <v>452319</v>
      </c>
      <c r="E23" s="280">
        <v>26291</v>
      </c>
      <c r="F23" s="280">
        <v>2180</v>
      </c>
      <c r="G23" s="280">
        <v>178734</v>
      </c>
      <c r="H23" s="280">
        <v>312225</v>
      </c>
      <c r="I23" s="280">
        <v>167710</v>
      </c>
      <c r="J23" s="280">
        <v>25173</v>
      </c>
      <c r="K23" s="280">
        <v>26907</v>
      </c>
      <c r="L23" s="280">
        <v>68524</v>
      </c>
      <c r="M23" s="280">
        <v>198921</v>
      </c>
      <c r="N23" s="280">
        <v>4061</v>
      </c>
      <c r="O23" s="280">
        <v>15155</v>
      </c>
      <c r="P23" s="280">
        <v>74220</v>
      </c>
      <c r="Q23" s="280">
        <v>57722</v>
      </c>
      <c r="R23" s="280">
        <v>60242</v>
      </c>
      <c r="S23" s="280">
        <v>3157</v>
      </c>
      <c r="T23" s="280">
        <v>116731</v>
      </c>
      <c r="U23" s="280">
        <f>SUM(B23:T23)</f>
        <v>2117476</v>
      </c>
      <c r="V23" s="280">
        <v>95147</v>
      </c>
      <c r="W23" s="280">
        <f>U23+V23</f>
        <v>2212623</v>
      </c>
      <c r="X23" s="280">
        <v>76394</v>
      </c>
      <c r="Y23" s="280">
        <f>W23+X23</f>
        <v>2289017</v>
      </c>
      <c r="Z23" s="419" t="s">
        <v>1328</v>
      </c>
    </row>
    <row r="24" spans="1:26" ht="17.100000000000001" customHeight="1">
      <c r="A24" s="438"/>
      <c r="B24" s="666">
        <f t="shared" ref="B24:W24" si="7">(B23/$W23)*100</f>
        <v>13.036021048321381</v>
      </c>
      <c r="C24" s="666">
        <f t="shared" si="7"/>
        <v>1.7520381917751011</v>
      </c>
      <c r="D24" s="666">
        <f t="shared" si="7"/>
        <v>20.442660136860187</v>
      </c>
      <c r="E24" s="666">
        <f t="shared" si="7"/>
        <v>1.1882277279048443</v>
      </c>
      <c r="F24" s="666">
        <f t="shared" si="7"/>
        <v>9.8525596091155146E-2</v>
      </c>
      <c r="G24" s="666">
        <f t="shared" si="7"/>
        <v>8.0779238035580381</v>
      </c>
      <c r="H24" s="666">
        <f t="shared" si="7"/>
        <v>14.111079926404091</v>
      </c>
      <c r="I24" s="666">
        <f t="shared" si="7"/>
        <v>7.5796916148842346</v>
      </c>
      <c r="J24" s="666">
        <f t="shared" si="7"/>
        <v>1.1376994634874535</v>
      </c>
      <c r="K24" s="666">
        <f t="shared" si="7"/>
        <v>1.2160679880847303</v>
      </c>
      <c r="L24" s="666">
        <f t="shared" si="7"/>
        <v>3.0969577736469338</v>
      </c>
      <c r="M24" s="666">
        <f t="shared" si="7"/>
        <v>8.9902798624076485</v>
      </c>
      <c r="N24" s="666">
        <f t="shared" si="7"/>
        <v>0.18353781914045006</v>
      </c>
      <c r="O24" s="666">
        <f t="shared" si="7"/>
        <v>0.68493367374378744</v>
      </c>
      <c r="P24" s="666">
        <f t="shared" si="7"/>
        <v>3.3543897898557504</v>
      </c>
      <c r="Q24" s="666">
        <f t="shared" si="7"/>
        <v>2.6087589254925039</v>
      </c>
      <c r="R24" s="666">
        <f t="shared" si="7"/>
        <v>2.7226508989556737</v>
      </c>
      <c r="S24" s="666">
        <f t="shared" si="7"/>
        <v>0.14268133342191597</v>
      </c>
      <c r="T24" s="666">
        <f t="shared" si="7"/>
        <v>5.2756841088608404</v>
      </c>
      <c r="U24" s="666">
        <f t="shared" si="7"/>
        <v>95.699809682896714</v>
      </c>
      <c r="V24" s="666">
        <f t="shared" si="7"/>
        <v>4.3001903171032749</v>
      </c>
      <c r="W24" s="666">
        <f t="shared" si="7"/>
        <v>100</v>
      </c>
      <c r="X24" s="322"/>
      <c r="Y24" s="322"/>
      <c r="Z24" s="385"/>
    </row>
    <row r="25" spans="1:26" s="177" customFormat="1" ht="17.100000000000001" customHeight="1">
      <c r="A25" s="424" t="s">
        <v>1467</v>
      </c>
      <c r="B25" s="280">
        <v>298662</v>
      </c>
      <c r="C25" s="280">
        <v>42469</v>
      </c>
      <c r="D25" s="280">
        <v>499598</v>
      </c>
      <c r="E25" s="280">
        <v>28466</v>
      </c>
      <c r="F25" s="280">
        <v>2244</v>
      </c>
      <c r="G25" s="280">
        <v>196710</v>
      </c>
      <c r="H25" s="280">
        <v>339505</v>
      </c>
      <c r="I25" s="422">
        <v>179010</v>
      </c>
      <c r="J25" s="280">
        <v>26564</v>
      </c>
      <c r="K25" s="280">
        <v>28728</v>
      </c>
      <c r="L25" s="280">
        <v>73278</v>
      </c>
      <c r="M25" s="280">
        <v>205841</v>
      </c>
      <c r="N25" s="280">
        <v>4227</v>
      </c>
      <c r="O25" s="280">
        <v>16329</v>
      </c>
      <c r="P25" s="280">
        <v>80656</v>
      </c>
      <c r="Q25" s="280">
        <v>61120</v>
      </c>
      <c r="R25" s="280">
        <v>65783</v>
      </c>
      <c r="S25" s="280">
        <v>3322</v>
      </c>
      <c r="T25" s="280">
        <v>120489</v>
      </c>
      <c r="U25" s="280">
        <f>SUM(B25:T25)</f>
        <v>2273001</v>
      </c>
      <c r="V25" s="280">
        <v>101573</v>
      </c>
      <c r="W25" s="280">
        <f>U25+V25</f>
        <v>2374574</v>
      </c>
      <c r="X25" s="280">
        <v>94959</v>
      </c>
      <c r="Y25" s="280">
        <f>W25+X25</f>
        <v>2469533</v>
      </c>
      <c r="Z25" s="419" t="s">
        <v>1467</v>
      </c>
    </row>
    <row r="26" spans="1:26" ht="17.100000000000001" customHeight="1">
      <c r="A26" s="438"/>
      <c r="B26" s="666">
        <f t="shared" ref="B26:W26" si="8">(B25/$W25)*100</f>
        <v>12.577498111240162</v>
      </c>
      <c r="C26" s="666">
        <f t="shared" si="8"/>
        <v>1.7884892195400102</v>
      </c>
      <c r="D26" s="666">
        <f t="shared" si="8"/>
        <v>21.039479081300478</v>
      </c>
      <c r="E26" s="666">
        <f t="shared" si="8"/>
        <v>1.1987834449463357</v>
      </c>
      <c r="F26" s="666">
        <f t="shared" si="8"/>
        <v>9.4501161050361021E-2</v>
      </c>
      <c r="G26" s="666">
        <f t="shared" si="8"/>
        <v>8.2840122059788417</v>
      </c>
      <c r="H26" s="666">
        <f t="shared" si="8"/>
        <v>14.297511890553844</v>
      </c>
      <c r="I26" s="666">
        <f t="shared" si="8"/>
        <v>7.5386153474265276</v>
      </c>
      <c r="J26" s="666">
        <f t="shared" si="8"/>
        <v>1.1186848672646126</v>
      </c>
      <c r="K26" s="666">
        <f t="shared" si="8"/>
        <v>1.2098170029655846</v>
      </c>
      <c r="L26" s="666">
        <f t="shared" si="8"/>
        <v>3.0859429944065755</v>
      </c>
      <c r="M26" s="666">
        <f t="shared" si="8"/>
        <v>8.6685443367947261</v>
      </c>
      <c r="N26" s="666">
        <f t="shared" si="8"/>
        <v>0.1780108768983405</v>
      </c>
      <c r="O26" s="666">
        <f t="shared" si="8"/>
        <v>0.68766018662715922</v>
      </c>
      <c r="P26" s="666">
        <f t="shared" si="8"/>
        <v>3.3966513572539747</v>
      </c>
      <c r="Q26" s="666">
        <f t="shared" si="8"/>
        <v>2.5739353669331848</v>
      </c>
      <c r="R26" s="666">
        <f t="shared" si="8"/>
        <v>2.7703074319856951</v>
      </c>
      <c r="S26" s="666">
        <f t="shared" si="8"/>
        <v>0.1398987776333776</v>
      </c>
      <c r="T26" s="666">
        <f t="shared" si="8"/>
        <v>5.0741311915316185</v>
      </c>
      <c r="U26" s="666">
        <f t="shared" si="8"/>
        <v>95.722474852331402</v>
      </c>
      <c r="V26" s="666">
        <f t="shared" si="8"/>
        <v>4.2775251476685918</v>
      </c>
      <c r="W26" s="666">
        <f t="shared" si="8"/>
        <v>100</v>
      </c>
      <c r="X26" s="322"/>
      <c r="Y26" s="322"/>
      <c r="Z26" s="385"/>
    </row>
    <row r="27" spans="1:26" s="177" customFormat="1" ht="17.100000000000001" customHeight="1">
      <c r="A27" s="424" t="s">
        <v>1596</v>
      </c>
      <c r="B27" s="280">
        <v>308399.90000000002</v>
      </c>
      <c r="C27" s="280">
        <v>47271</v>
      </c>
      <c r="D27" s="280">
        <v>561220</v>
      </c>
      <c r="E27" s="280">
        <v>30812</v>
      </c>
      <c r="F27" s="280">
        <v>2386</v>
      </c>
      <c r="G27" s="280">
        <v>217314</v>
      </c>
      <c r="H27" s="280">
        <v>369561</v>
      </c>
      <c r="I27" s="280">
        <v>191556</v>
      </c>
      <c r="J27" s="422">
        <v>28061</v>
      </c>
      <c r="K27" s="280">
        <v>30842</v>
      </c>
      <c r="L27" s="280">
        <v>79324</v>
      </c>
      <c r="M27" s="280">
        <v>213268</v>
      </c>
      <c r="N27" s="280">
        <v>4403</v>
      </c>
      <c r="O27" s="280">
        <v>17663</v>
      </c>
      <c r="P27" s="280">
        <v>85890</v>
      </c>
      <c r="Q27" s="280">
        <v>65434</v>
      </c>
      <c r="R27" s="280">
        <v>73809</v>
      </c>
      <c r="S27" s="280">
        <v>3504</v>
      </c>
      <c r="T27" s="280">
        <v>124429</v>
      </c>
      <c r="U27" s="280">
        <f>SUM(B27:T27)</f>
        <v>2455146.9</v>
      </c>
      <c r="V27" s="280">
        <v>106588</v>
      </c>
      <c r="W27" s="280">
        <f>U27+V27</f>
        <v>2561734.9</v>
      </c>
      <c r="X27" s="280">
        <v>104932</v>
      </c>
      <c r="Y27" s="280">
        <f>W27+X27</f>
        <v>2666666.9</v>
      </c>
      <c r="Z27" s="419" t="s">
        <v>1596</v>
      </c>
    </row>
    <row r="28" spans="1:26" ht="17.100000000000001" customHeight="1">
      <c r="A28" s="438"/>
      <c r="B28" s="666">
        <f t="shared" ref="B28:W28" si="9">(B27/$W27)*100</f>
        <v>12.038712514710246</v>
      </c>
      <c r="C28" s="666">
        <f t="shared" si="9"/>
        <v>1.8452729047022003</v>
      </c>
      <c r="D28" s="666">
        <f t="shared" si="9"/>
        <v>21.907809430241983</v>
      </c>
      <c r="E28" s="666">
        <f t="shared" si="9"/>
        <v>1.2027786325587397</v>
      </c>
      <c r="F28" s="666">
        <f t="shared" si="9"/>
        <v>9.314000445557423E-2</v>
      </c>
      <c r="G28" s="666">
        <f t="shared" si="9"/>
        <v>8.4830791820027915</v>
      </c>
      <c r="H28" s="666">
        <f t="shared" si="9"/>
        <v>14.426199994386618</v>
      </c>
      <c r="I28" s="666">
        <f t="shared" si="9"/>
        <v>7.4775887231735032</v>
      </c>
      <c r="J28" s="666">
        <f t="shared" si="9"/>
        <v>1.095390471512099</v>
      </c>
      <c r="K28" s="666">
        <f t="shared" si="9"/>
        <v>1.2039497139223891</v>
      </c>
      <c r="L28" s="666">
        <f t="shared" si="9"/>
        <v>3.0964952696705659</v>
      </c>
      <c r="M28" s="666">
        <f t="shared" si="9"/>
        <v>8.3251393420919548</v>
      </c>
      <c r="N28" s="666">
        <f t="shared" si="9"/>
        <v>0.17187570813826208</v>
      </c>
      <c r="O28" s="666">
        <f t="shared" si="9"/>
        <v>0.68949367087125213</v>
      </c>
      <c r="P28" s="666">
        <f t="shared" si="9"/>
        <v>3.3528059441279421</v>
      </c>
      <c r="Q28" s="666">
        <f t="shared" si="9"/>
        <v>2.5542845983009403</v>
      </c>
      <c r="R28" s="666">
        <f t="shared" si="9"/>
        <v>2.8812114789863696</v>
      </c>
      <c r="S28" s="666">
        <f t="shared" si="9"/>
        <v>0.1367823032742381</v>
      </c>
      <c r="T28" s="666">
        <f t="shared" si="9"/>
        <v>4.8572160999172862</v>
      </c>
      <c r="U28" s="666">
        <f t="shared" si="9"/>
        <v>95.839225987044955</v>
      </c>
      <c r="V28" s="666">
        <f t="shared" si="9"/>
        <v>4.1607740129550486</v>
      </c>
      <c r="W28" s="666">
        <f t="shared" si="9"/>
        <v>100</v>
      </c>
      <c r="X28" s="322"/>
      <c r="Y28" s="322"/>
      <c r="Z28" s="385"/>
    </row>
    <row r="29" spans="1:26" s="177" customFormat="1" ht="17.100000000000001" customHeight="1">
      <c r="A29" s="424" t="s">
        <v>1691</v>
      </c>
      <c r="B29" s="280">
        <v>318950</v>
      </c>
      <c r="C29" s="280">
        <v>48765</v>
      </c>
      <c r="D29" s="280">
        <v>570654</v>
      </c>
      <c r="E29" s="280">
        <v>31020</v>
      </c>
      <c r="F29" s="280">
        <v>2438</v>
      </c>
      <c r="G29" s="280">
        <v>237146</v>
      </c>
      <c r="H29" s="280">
        <v>381439</v>
      </c>
      <c r="I29" s="280">
        <v>194870</v>
      </c>
      <c r="J29" s="280">
        <v>28535</v>
      </c>
      <c r="K29" s="280">
        <v>32868</v>
      </c>
      <c r="L29" s="280">
        <v>83068</v>
      </c>
      <c r="M29" s="280">
        <v>221109</v>
      </c>
      <c r="N29" s="280">
        <v>4552</v>
      </c>
      <c r="O29" s="280">
        <v>18781</v>
      </c>
      <c r="P29" s="280">
        <v>90602</v>
      </c>
      <c r="Q29" s="280">
        <v>68924</v>
      </c>
      <c r="R29" s="280">
        <v>81704</v>
      </c>
      <c r="S29" s="280">
        <v>3695</v>
      </c>
      <c r="T29" s="280">
        <v>128242</v>
      </c>
      <c r="U29" s="280">
        <f>SUM(B29:T29)</f>
        <v>2547362</v>
      </c>
      <c r="V29" s="280">
        <v>102703</v>
      </c>
      <c r="W29" s="280">
        <f>U29+V29</f>
        <v>2650065</v>
      </c>
      <c r="X29" s="280">
        <v>109691</v>
      </c>
      <c r="Y29" s="280">
        <f>W29+X29</f>
        <v>2759756</v>
      </c>
      <c r="Z29" s="419" t="s">
        <v>1691</v>
      </c>
    </row>
    <row r="30" spans="1:26" ht="17.100000000000001" customHeight="1">
      <c r="A30" s="438"/>
      <c r="B30" s="666">
        <f t="shared" ref="B30:W30" si="10">(B29/$W29)*100</f>
        <v>12.035553844905692</v>
      </c>
      <c r="C30" s="666">
        <f t="shared" si="10"/>
        <v>1.8401435436489293</v>
      </c>
      <c r="D30" s="666">
        <f t="shared" si="10"/>
        <v>21.533585025272963</v>
      </c>
      <c r="E30" s="666">
        <f t="shared" si="10"/>
        <v>1.1705373264429364</v>
      </c>
      <c r="F30" s="666">
        <f t="shared" si="10"/>
        <v>9.1997743451575714E-2</v>
      </c>
      <c r="G30" s="666">
        <f t="shared" si="10"/>
        <v>8.9486861643016304</v>
      </c>
      <c r="H30" s="666">
        <f t="shared" si="10"/>
        <v>14.393571478435435</v>
      </c>
      <c r="I30" s="666">
        <f t="shared" si="10"/>
        <v>7.3534045391339458</v>
      </c>
      <c r="J30" s="666">
        <f t="shared" si="10"/>
        <v>1.0767660415876592</v>
      </c>
      <c r="K30" s="666">
        <f t="shared" si="10"/>
        <v>1.2402714650395368</v>
      </c>
      <c r="L30" s="666">
        <f t="shared" si="10"/>
        <v>3.1345646238865843</v>
      </c>
      <c r="M30" s="666">
        <f t="shared" si="10"/>
        <v>8.3435311964046157</v>
      </c>
      <c r="N30" s="666">
        <f t="shared" si="10"/>
        <v>0.17176937169465653</v>
      </c>
      <c r="O30" s="666">
        <f t="shared" si="10"/>
        <v>0.7086995979343903</v>
      </c>
      <c r="P30" s="666">
        <f t="shared" si="10"/>
        <v>3.418859537407573</v>
      </c>
      <c r="Q30" s="666">
        <f t="shared" si="10"/>
        <v>2.6008418661429058</v>
      </c>
      <c r="R30" s="666">
        <f t="shared" si="10"/>
        <v>3.0830941882557599</v>
      </c>
      <c r="S30" s="666">
        <f t="shared" si="10"/>
        <v>0.13943054226971791</v>
      </c>
      <c r="T30" s="666">
        <f t="shared" si="10"/>
        <v>4.8392020573080288</v>
      </c>
      <c r="U30" s="666">
        <f t="shared" si="10"/>
        <v>96.12451015352454</v>
      </c>
      <c r="V30" s="666">
        <f t="shared" si="10"/>
        <v>3.8754898464754639</v>
      </c>
      <c r="W30" s="666">
        <f t="shared" si="10"/>
        <v>100</v>
      </c>
      <c r="X30" s="322"/>
      <c r="Y30" s="322"/>
      <c r="Z30" s="385"/>
    </row>
    <row r="31" spans="1:26" s="177" customFormat="1" ht="17.100000000000001" customHeight="1">
      <c r="A31" s="424" t="s">
        <v>1760</v>
      </c>
      <c r="B31" s="422">
        <v>329075</v>
      </c>
      <c r="C31" s="422">
        <v>51932</v>
      </c>
      <c r="D31" s="422">
        <v>636764</v>
      </c>
      <c r="E31" s="422">
        <v>33980</v>
      </c>
      <c r="F31" s="422">
        <v>2599</v>
      </c>
      <c r="G31" s="422">
        <v>256305</v>
      </c>
      <c r="H31" s="422">
        <v>410589</v>
      </c>
      <c r="I31" s="422">
        <v>202740</v>
      </c>
      <c r="J31" s="422">
        <v>29828</v>
      </c>
      <c r="K31" s="422">
        <v>35206</v>
      </c>
      <c r="L31" s="422">
        <v>87901</v>
      </c>
      <c r="M31" s="422">
        <v>228668</v>
      </c>
      <c r="N31" s="422">
        <v>4784</v>
      </c>
      <c r="O31" s="422">
        <v>19911</v>
      </c>
      <c r="P31" s="422">
        <v>96081</v>
      </c>
      <c r="Q31" s="422">
        <v>72932</v>
      </c>
      <c r="R31" s="422">
        <v>90364</v>
      </c>
      <c r="S31" s="422">
        <v>3908</v>
      </c>
      <c r="T31" s="422">
        <v>132197</v>
      </c>
      <c r="U31" s="280">
        <f>SUM(B31:T31)</f>
        <v>2725764</v>
      </c>
      <c r="V31" s="422">
        <v>108180</v>
      </c>
      <c r="W31" s="280">
        <f>U31+V31</f>
        <v>2833944</v>
      </c>
      <c r="X31" s="422">
        <v>149165</v>
      </c>
      <c r="Y31" s="280">
        <f>W31+X31</f>
        <v>2983109</v>
      </c>
      <c r="Z31" s="419" t="s">
        <v>1760</v>
      </c>
    </row>
    <row r="32" spans="1:26" ht="17.100000000000001" customHeight="1">
      <c r="A32" s="438"/>
      <c r="B32" s="666">
        <f t="shared" ref="B32:W34" si="11">(B31/$W31)*100</f>
        <v>11.61190905677741</v>
      </c>
      <c r="C32" s="666">
        <f t="shared" si="11"/>
        <v>1.8324991601810054</v>
      </c>
      <c r="D32" s="666">
        <f t="shared" si="11"/>
        <v>22.469180760099704</v>
      </c>
      <c r="E32" s="666">
        <f t="shared" si="11"/>
        <v>1.1990356901900672</v>
      </c>
      <c r="F32" s="666">
        <f t="shared" si="11"/>
        <v>9.1709645638728216E-2</v>
      </c>
      <c r="G32" s="666">
        <f t="shared" si="11"/>
        <v>9.0441095519177512</v>
      </c>
      <c r="H32" s="666">
        <f t="shared" si="11"/>
        <v>14.488253825763669</v>
      </c>
      <c r="I32" s="666">
        <f t="shared" si="11"/>
        <v>7.1539875170433849</v>
      </c>
      <c r="J32" s="666">
        <f t="shared" si="11"/>
        <v>1.0525260908472434</v>
      </c>
      <c r="K32" s="666">
        <f t="shared" si="11"/>
        <v>1.2422969543505447</v>
      </c>
      <c r="L32" s="666">
        <f t="shared" si="11"/>
        <v>3.10171972346666</v>
      </c>
      <c r="M32" s="666">
        <f t="shared" si="11"/>
        <v>8.068896209663988</v>
      </c>
      <c r="N32" s="666">
        <f t="shared" si="11"/>
        <v>0.16881067515801298</v>
      </c>
      <c r="O32" s="666">
        <f t="shared" si="11"/>
        <v>0.70258974771555116</v>
      </c>
      <c r="P32" s="666">
        <f t="shared" si="11"/>
        <v>3.3903633946189484</v>
      </c>
      <c r="Q32" s="666">
        <f t="shared" si="11"/>
        <v>2.5735159198629192</v>
      </c>
      <c r="R32" s="666">
        <f t="shared" si="11"/>
        <v>3.1886304034236388</v>
      </c>
      <c r="S32" s="666">
        <f t="shared" si="11"/>
        <v>0.13789969032556748</v>
      </c>
      <c r="T32" s="666">
        <f t="shared" si="11"/>
        <v>4.6647710752223759</v>
      </c>
      <c r="U32" s="666">
        <f t="shared" si="11"/>
        <v>96.18270509226717</v>
      </c>
      <c r="V32" s="666">
        <f t="shared" si="11"/>
        <v>3.8172949077328275</v>
      </c>
      <c r="W32" s="666">
        <f t="shared" si="11"/>
        <v>100</v>
      </c>
      <c r="X32" s="322"/>
      <c r="Y32" s="322"/>
      <c r="Z32" s="385"/>
    </row>
    <row r="33" spans="1:26" ht="17.100000000000001" customHeight="1">
      <c r="A33" s="424" t="s">
        <v>2431</v>
      </c>
      <c r="B33" s="422">
        <v>336320</v>
      </c>
      <c r="C33" s="422">
        <v>50925</v>
      </c>
      <c r="D33" s="422">
        <v>715123</v>
      </c>
      <c r="E33" s="422">
        <v>36005</v>
      </c>
      <c r="F33" s="422">
        <v>2793</v>
      </c>
      <c r="G33" s="422">
        <v>279219</v>
      </c>
      <c r="H33" s="422">
        <v>446406</v>
      </c>
      <c r="I33" s="422">
        <v>214288</v>
      </c>
      <c r="J33" s="422">
        <v>31495</v>
      </c>
      <c r="K33" s="422">
        <v>37370</v>
      </c>
      <c r="L33" s="422">
        <v>94584</v>
      </c>
      <c r="M33" s="422">
        <v>237033</v>
      </c>
      <c r="N33" s="422">
        <v>4987</v>
      </c>
      <c r="O33" s="422">
        <v>21003</v>
      </c>
      <c r="P33" s="422">
        <v>99944</v>
      </c>
      <c r="Q33" s="422">
        <v>77478</v>
      </c>
      <c r="R33" s="422">
        <v>99199</v>
      </c>
      <c r="S33" s="422">
        <v>4145</v>
      </c>
      <c r="T33" s="422">
        <v>136411</v>
      </c>
      <c r="U33" s="280">
        <f>SUM(B33:T33)</f>
        <v>2924728</v>
      </c>
      <c r="V33" s="422">
        <v>114545</v>
      </c>
      <c r="W33" s="280">
        <f>U33+V33</f>
        <v>3039273</v>
      </c>
      <c r="X33" s="422">
        <v>112820</v>
      </c>
      <c r="Y33" s="280">
        <f>W33+X33</f>
        <v>3152093</v>
      </c>
      <c r="Z33" s="419" t="s">
        <v>2431</v>
      </c>
    </row>
    <row r="34" spans="1:26" ht="17.100000000000001" customHeight="1" thickBot="1">
      <c r="A34" s="942"/>
      <c r="B34" s="644">
        <f t="shared" si="11"/>
        <v>11.065804223575835</v>
      </c>
      <c r="C34" s="644">
        <f t="shared" si="11"/>
        <v>1.6755651762773531</v>
      </c>
      <c r="D34" s="644">
        <f t="shared" si="11"/>
        <v>23.529409829258512</v>
      </c>
      <c r="E34" s="644">
        <f t="shared" si="11"/>
        <v>1.1846583047985488</v>
      </c>
      <c r="F34" s="644">
        <f t="shared" si="11"/>
        <v>9.1896976678304321E-2</v>
      </c>
      <c r="G34" s="644">
        <f t="shared" si="11"/>
        <v>9.187032556798945</v>
      </c>
      <c r="H34" s="644">
        <f t="shared" si="11"/>
        <v>14.687920433603693</v>
      </c>
      <c r="I34" s="644">
        <f t="shared" si="11"/>
        <v>7.0506334903116628</v>
      </c>
      <c r="J34" s="644">
        <f t="shared" si="11"/>
        <v>1.0362675547737896</v>
      </c>
      <c r="K34" s="644">
        <f t="shared" si="11"/>
        <v>1.2295703610699007</v>
      </c>
      <c r="L34" s="644">
        <f t="shared" si="11"/>
        <v>3.1120600222487416</v>
      </c>
      <c r="M34" s="644">
        <f t="shared" si="11"/>
        <v>7.7990032484742233</v>
      </c>
      <c r="N34" s="644">
        <f t="shared" si="11"/>
        <v>0.16408529276573708</v>
      </c>
      <c r="O34" s="644">
        <f t="shared" si="11"/>
        <v>0.69105341968293077</v>
      </c>
      <c r="P34" s="644">
        <f t="shared" si="11"/>
        <v>3.2884179868014485</v>
      </c>
      <c r="Q34" s="644">
        <f t="shared" si="11"/>
        <v>2.5492280555251203</v>
      </c>
      <c r="R34" s="644">
        <f>(R33/$W33)*100</f>
        <v>3.2639055458328357</v>
      </c>
      <c r="S34" s="644">
        <f>(S33/$W33)*100</f>
        <v>0.13638129908040508</v>
      </c>
      <c r="T34" s="644">
        <f>(T33/$W33)*100</f>
        <v>4.4882772952610708</v>
      </c>
      <c r="U34" s="644">
        <f t="shared" si="11"/>
        <v>96.231171072819052</v>
      </c>
      <c r="V34" s="644">
        <f t="shared" si="11"/>
        <v>3.768828927180941</v>
      </c>
      <c r="W34" s="644">
        <f t="shared" si="11"/>
        <v>100</v>
      </c>
      <c r="X34" s="873"/>
      <c r="Y34" s="873"/>
      <c r="Z34" s="943"/>
    </row>
    <row r="35" spans="1:26" ht="13.5" customHeight="1">
      <c r="A35" s="83" t="s">
        <v>2345</v>
      </c>
      <c r="B35" s="2152" t="s">
        <v>2346</v>
      </c>
      <c r="C35" s="2152"/>
      <c r="D35" s="2152"/>
      <c r="E35" s="2152"/>
      <c r="F35" s="2152"/>
      <c r="G35" s="2152"/>
      <c r="H35" s="2152"/>
      <c r="I35" s="2152"/>
      <c r="J35" s="2152"/>
      <c r="K35" s="1424"/>
      <c r="L35" s="1425" t="s">
        <v>1465</v>
      </c>
      <c r="M35" s="658"/>
      <c r="N35" s="784" t="s">
        <v>2347</v>
      </c>
      <c r="O35" s="7"/>
      <c r="P35" s="7"/>
      <c r="Q35" s="7"/>
      <c r="R35" s="57"/>
      <c r="S35" s="1419"/>
      <c r="T35" s="1419"/>
      <c r="U35" s="1419"/>
      <c r="V35" s="1419"/>
      <c r="W35" s="7"/>
      <c r="X35" s="2142"/>
      <c r="Y35" s="2142"/>
      <c r="Z35" s="7"/>
    </row>
    <row r="36" spans="1:26" ht="9.75" customHeight="1">
      <c r="B36" s="2150"/>
      <c r="C36" s="2150"/>
      <c r="D36" s="2150"/>
      <c r="E36" s="10"/>
      <c r="F36" s="2142"/>
      <c r="G36" s="2142"/>
      <c r="H36" s="10"/>
      <c r="I36" s="10"/>
      <c r="J36" s="10"/>
      <c r="K36" s="10"/>
      <c r="L36" s="10"/>
      <c r="P36" s="2151"/>
      <c r="Q36" s="2151"/>
      <c r="R36" s="2151"/>
      <c r="S36" s="1294"/>
    </row>
    <row r="37" spans="1:26" ht="9.75" customHeight="1"/>
    <row r="38" spans="1:26" ht="9.75" customHeight="1">
      <c r="D38" s="812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45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G57" sqref="G5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45" t="s">
        <v>257</v>
      </c>
      <c r="C1" s="1845"/>
      <c r="D1" s="1845"/>
      <c r="E1" s="1845"/>
      <c r="F1" s="1845"/>
      <c r="G1" s="1845"/>
      <c r="H1" s="1845"/>
      <c r="I1" s="1845"/>
      <c r="J1" s="1845"/>
      <c r="K1" s="1845"/>
      <c r="L1" s="2132" t="s">
        <v>258</v>
      </c>
      <c r="M1" s="2132"/>
      <c r="N1" s="2132"/>
      <c r="O1" s="2132"/>
      <c r="P1" s="36"/>
      <c r="Q1" s="36"/>
      <c r="R1" s="36"/>
      <c r="U1" s="1845" t="s">
        <v>1201</v>
      </c>
      <c r="V1" s="1845"/>
      <c r="W1" s="1845"/>
    </row>
    <row r="2" spans="1:24" ht="12" customHeight="1">
      <c r="B2" s="1293"/>
      <c r="C2" s="1293"/>
      <c r="D2" s="2154"/>
      <c r="E2" s="2154"/>
      <c r="F2" s="99"/>
      <c r="G2" s="99"/>
      <c r="H2" s="99"/>
      <c r="I2" s="99"/>
      <c r="J2" s="2155" t="s">
        <v>2302</v>
      </c>
      <c r="K2" s="2155"/>
      <c r="L2" s="2157" t="s">
        <v>2303</v>
      </c>
      <c r="M2" s="2157"/>
      <c r="N2" s="2157"/>
      <c r="O2" s="2157"/>
      <c r="P2" s="2157"/>
      <c r="S2" s="1293"/>
      <c r="T2" s="1293"/>
      <c r="V2" s="2156" t="s">
        <v>1729</v>
      </c>
      <c r="W2" s="2156"/>
    </row>
    <row r="3" spans="1:24" ht="13.5" customHeight="1">
      <c r="A3" s="1862" t="s">
        <v>524</v>
      </c>
      <c r="B3" s="2153" t="s">
        <v>259</v>
      </c>
      <c r="C3" s="2153" t="s">
        <v>260</v>
      </c>
      <c r="D3" s="2153" t="s">
        <v>261</v>
      </c>
      <c r="E3" s="2153" t="s">
        <v>283</v>
      </c>
      <c r="F3" s="2153" t="s">
        <v>284</v>
      </c>
      <c r="G3" s="2153" t="s">
        <v>292</v>
      </c>
      <c r="H3" s="2153" t="s">
        <v>262</v>
      </c>
      <c r="I3" s="2153" t="s">
        <v>263</v>
      </c>
      <c r="J3" s="2153" t="s">
        <v>264</v>
      </c>
      <c r="K3" s="2153" t="s">
        <v>1538</v>
      </c>
      <c r="L3" s="2153" t="s">
        <v>291</v>
      </c>
      <c r="M3" s="2153" t="s">
        <v>265</v>
      </c>
      <c r="N3" s="2153" t="s">
        <v>266</v>
      </c>
      <c r="O3" s="2153" t="s">
        <v>902</v>
      </c>
      <c r="P3" s="2153" t="s">
        <v>286</v>
      </c>
      <c r="Q3" s="2153" t="s">
        <v>903</v>
      </c>
      <c r="R3" s="2153" t="s">
        <v>1539</v>
      </c>
      <c r="S3" s="2158" t="s">
        <v>267</v>
      </c>
      <c r="T3" s="2159"/>
      <c r="U3" s="2159"/>
      <c r="V3" s="2159"/>
      <c r="W3" s="2160"/>
    </row>
    <row r="4" spans="1:24" s="100" customFormat="1" ht="74.25" customHeight="1">
      <c r="A4" s="1863"/>
      <c r="B4" s="2153"/>
      <c r="C4" s="2153"/>
      <c r="D4" s="2153"/>
      <c r="E4" s="2153"/>
      <c r="F4" s="2153"/>
      <c r="G4" s="2153"/>
      <c r="H4" s="2153"/>
      <c r="I4" s="2153"/>
      <c r="J4" s="2153"/>
      <c r="K4" s="2153"/>
      <c r="L4" s="2153"/>
      <c r="M4" s="2153"/>
      <c r="N4" s="2153"/>
      <c r="O4" s="2153"/>
      <c r="P4" s="2153"/>
      <c r="Q4" s="2153"/>
      <c r="R4" s="2153"/>
      <c r="S4" s="2161" t="s">
        <v>259</v>
      </c>
      <c r="T4" s="2162"/>
      <c r="U4" s="1295" t="s">
        <v>265</v>
      </c>
      <c r="V4" s="1290" t="s">
        <v>268</v>
      </c>
      <c r="W4" s="1290" t="s">
        <v>285</v>
      </c>
    </row>
    <row r="5" spans="1:24" s="103" customFormat="1" ht="9.75" customHeight="1">
      <c r="A5" s="1864"/>
      <c r="B5" s="1296">
        <v>1</v>
      </c>
      <c r="C5" s="1296">
        <v>2</v>
      </c>
      <c r="D5" s="1296">
        <v>3</v>
      </c>
      <c r="E5" s="1296">
        <v>4</v>
      </c>
      <c r="F5" s="1296">
        <v>5</v>
      </c>
      <c r="G5" s="1296">
        <v>6</v>
      </c>
      <c r="H5" s="1296">
        <v>7</v>
      </c>
      <c r="I5" s="1296">
        <v>8</v>
      </c>
      <c r="J5" s="1296">
        <v>9</v>
      </c>
      <c r="K5" s="1296">
        <v>10</v>
      </c>
      <c r="L5" s="1296">
        <v>11</v>
      </c>
      <c r="M5" s="1296">
        <v>12</v>
      </c>
      <c r="N5" s="1296">
        <v>13</v>
      </c>
      <c r="O5" s="1296">
        <v>14</v>
      </c>
      <c r="P5" s="1296">
        <v>15</v>
      </c>
      <c r="Q5" s="1296">
        <v>16</v>
      </c>
      <c r="R5" s="1296">
        <v>17</v>
      </c>
      <c r="S5" s="2163">
        <v>18</v>
      </c>
      <c r="T5" s="2163"/>
      <c r="U5" s="1296">
        <v>19</v>
      </c>
      <c r="V5" s="1296">
        <v>20</v>
      </c>
      <c r="W5" s="1296">
        <v>21</v>
      </c>
    </row>
    <row r="6" spans="1:24" s="103" customFormat="1" ht="10.7" customHeight="1">
      <c r="A6" s="2164" t="s">
        <v>2304</v>
      </c>
      <c r="B6" s="2165"/>
      <c r="C6" s="2165"/>
      <c r="D6" s="1301"/>
      <c r="E6" s="1301"/>
      <c r="F6" s="1301"/>
      <c r="G6" s="1301"/>
      <c r="H6" s="1301"/>
      <c r="I6" s="1301"/>
      <c r="J6" s="1301"/>
      <c r="K6" s="1301"/>
      <c r="L6" s="1301"/>
      <c r="M6" s="1301"/>
      <c r="N6" s="1301"/>
      <c r="O6" s="1301"/>
      <c r="P6" s="1301"/>
      <c r="Q6" s="1301"/>
      <c r="R6" s="1301"/>
      <c r="S6" s="1301"/>
      <c r="T6" s="1301"/>
      <c r="U6" s="1301"/>
      <c r="V6" s="1301"/>
      <c r="W6" s="1301"/>
    </row>
    <row r="7" spans="1:24" s="100" customFormat="1" ht="10.7" customHeight="1">
      <c r="A7" s="354" t="s">
        <v>602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1259</v>
      </c>
      <c r="N7" s="645" t="s">
        <v>1264</v>
      </c>
      <c r="O7" s="645" t="s">
        <v>717</v>
      </c>
      <c r="P7" s="645" t="s">
        <v>1273</v>
      </c>
      <c r="Q7" s="1288">
        <f>(B7/M7)*100</f>
        <v>100</v>
      </c>
      <c r="R7" s="645" t="s">
        <v>1277</v>
      </c>
      <c r="S7" s="646">
        <v>34502</v>
      </c>
      <c r="T7" s="645"/>
      <c r="U7" s="645" t="s">
        <v>1283</v>
      </c>
      <c r="V7" s="646">
        <v>36448</v>
      </c>
      <c r="W7" s="645" t="s">
        <v>1282</v>
      </c>
      <c r="X7" s="957"/>
    </row>
    <row r="8" spans="1:24" s="274" customFormat="1" ht="10.7" customHeight="1">
      <c r="A8" s="278"/>
      <c r="B8" s="1302">
        <f>(B7/67.08)*10</f>
        <v>71904.740608228982</v>
      </c>
      <c r="C8" s="1302">
        <f>(C7/67.08)*10</f>
        <v>75960.793082886114</v>
      </c>
      <c r="D8" s="1302">
        <f>(D7/67.08)*10</f>
        <v>544.5736434108527</v>
      </c>
      <c r="E8" s="1302">
        <f>(E7/67.08)*10</f>
        <v>76505.217650566497</v>
      </c>
      <c r="F8" s="1302">
        <f>(F7/67.08)*10</f>
        <v>56490.757304710794</v>
      </c>
      <c r="G8" s="1302"/>
      <c r="H8" s="1302">
        <f>(H7/67.08)*10</f>
        <v>15413.983303518187</v>
      </c>
      <c r="I8" s="1302">
        <f>(I7/67.08)*10</f>
        <v>20014.460345855696</v>
      </c>
      <c r="J8" s="1302"/>
      <c r="K8" s="1302">
        <f>(K7/67.08)*10</f>
        <v>18798.896839594516</v>
      </c>
      <c r="L8" s="1303"/>
      <c r="M8" s="1303"/>
      <c r="N8" s="1303"/>
      <c r="O8" s="1303"/>
      <c r="P8" s="1303"/>
      <c r="Q8" s="1303"/>
      <c r="R8" s="1303"/>
      <c r="S8" s="1302">
        <f>S7/67.08</f>
        <v>514.34108527131787</v>
      </c>
      <c r="T8" s="1303"/>
      <c r="U8" s="1303"/>
      <c r="V8" s="1302">
        <f>V7/67.08</f>
        <v>543.35122242098987</v>
      </c>
      <c r="W8" s="1303"/>
      <c r="X8" s="1304"/>
    </row>
    <row r="9" spans="1:24" s="100" customFormat="1" ht="10.7" customHeight="1">
      <c r="A9" s="354" t="s">
        <v>611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1260</v>
      </c>
      <c r="N9" s="645" t="s">
        <v>1265</v>
      </c>
      <c r="O9" s="645" t="s">
        <v>1269</v>
      </c>
      <c r="P9" s="645" t="s">
        <v>1274</v>
      </c>
      <c r="Q9" s="1288">
        <f>(B9/M9)*100</f>
        <v>106.47135943669718</v>
      </c>
      <c r="R9" s="645" t="s">
        <v>1278</v>
      </c>
      <c r="S9" s="646">
        <v>38773</v>
      </c>
      <c r="T9" s="645"/>
      <c r="U9" s="645" t="s">
        <v>1284</v>
      </c>
      <c r="V9" s="646">
        <v>41261</v>
      </c>
      <c r="W9" s="645" t="s">
        <v>1288</v>
      </c>
      <c r="X9" s="957"/>
    </row>
    <row r="10" spans="1:24" s="274" customFormat="1" ht="10.7" customHeight="1">
      <c r="A10" s="278"/>
      <c r="B10" s="1302">
        <f>(B9/69.03)*10</f>
        <v>79646.530493988117</v>
      </c>
      <c r="C10" s="1302">
        <f>(C9/69.03)*10</f>
        <v>84756.627553237719</v>
      </c>
      <c r="D10" s="1302">
        <f>(D9/69.03)*10</f>
        <v>577.86469650876427</v>
      </c>
      <c r="E10" s="1302">
        <f>(E9/69.03)*10</f>
        <v>85334.492249746487</v>
      </c>
      <c r="F10" s="1302">
        <f>(F9/69.03)*10</f>
        <v>63121.975952484427</v>
      </c>
      <c r="G10" s="1302"/>
      <c r="H10" s="1302">
        <f>(H9/69.03)*10</f>
        <v>16524.554541503694</v>
      </c>
      <c r="I10" s="1302">
        <f>(I9/69.03)*10</f>
        <v>22212.51629726206</v>
      </c>
      <c r="J10" s="1302"/>
      <c r="K10" s="1302">
        <f>(K9/69.03)*10</f>
        <v>20850.210053599883</v>
      </c>
      <c r="L10" s="1303"/>
      <c r="M10" s="1303"/>
      <c r="N10" s="1303"/>
      <c r="O10" s="1303"/>
      <c r="P10" s="1303"/>
      <c r="Q10" s="1303"/>
      <c r="R10" s="1303"/>
      <c r="S10" s="1302">
        <f>S9/69.03</f>
        <v>561.68332609010577</v>
      </c>
      <c r="T10" s="1303"/>
      <c r="U10" s="1303"/>
      <c r="V10" s="1302">
        <f>V9/69.03</f>
        <v>597.7256265391859</v>
      </c>
      <c r="W10" s="1303"/>
      <c r="X10" s="1304"/>
    </row>
    <row r="11" spans="1:24" s="100" customFormat="1" ht="10.7" customHeight="1">
      <c r="A11" s="354" t="s">
        <v>361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1261</v>
      </c>
      <c r="N11" s="645" t="s">
        <v>1266</v>
      </c>
      <c r="O11" s="645" t="s">
        <v>1270</v>
      </c>
      <c r="P11" s="645" t="s">
        <v>1159</v>
      </c>
      <c r="Q11" s="1288">
        <f>(B11/M11)*100</f>
        <v>114.84097713526853</v>
      </c>
      <c r="R11" s="645" t="s">
        <v>1279</v>
      </c>
      <c r="S11" s="646">
        <v>43719</v>
      </c>
      <c r="T11" s="645"/>
      <c r="U11" s="645" t="s">
        <v>1289</v>
      </c>
      <c r="V11" s="646">
        <v>47084</v>
      </c>
      <c r="W11" s="645" t="s">
        <v>1285</v>
      </c>
      <c r="X11" s="957"/>
    </row>
    <row r="12" spans="1:24" s="274" customFormat="1" ht="10.7" customHeight="1">
      <c r="A12" s="278"/>
      <c r="B12" s="1302">
        <f>(B11/68.6)*10</f>
        <v>91644.606413994174</v>
      </c>
      <c r="C12" s="1302">
        <f>(C11/68.6)*10</f>
        <v>98698.542274052481</v>
      </c>
      <c r="D12" s="1302">
        <f>(D11/68.6)*10</f>
        <v>826.67638483965015</v>
      </c>
      <c r="E12" s="1302">
        <f>(E11/68.6)*10</f>
        <v>99525.218658892132</v>
      </c>
      <c r="F12" s="1302">
        <f>(F11/68.6)*10</f>
        <v>74058.600583090389</v>
      </c>
      <c r="G12" s="1302"/>
      <c r="H12" s="1302">
        <f>(H11/68.6)*10</f>
        <v>17586.005830903792</v>
      </c>
      <c r="I12" s="1302">
        <f>(I11/68.6)*10</f>
        <v>25466.618075801751</v>
      </c>
      <c r="J12" s="1302"/>
      <c r="K12" s="1302">
        <f>(K11/68.6)*10</f>
        <v>24012.973760932946</v>
      </c>
      <c r="L12" s="1303"/>
      <c r="M12" s="1303"/>
      <c r="N12" s="1303"/>
      <c r="O12" s="1303"/>
      <c r="P12" s="1303"/>
      <c r="Q12" s="1303"/>
      <c r="R12" s="1303"/>
      <c r="S12" s="1302">
        <f>S11/68.6</f>
        <v>637.30320699708454</v>
      </c>
      <c r="T12" s="1303"/>
      <c r="U12" s="1303"/>
      <c r="V12" s="1302">
        <f>V11/68.6</f>
        <v>686.3556851311954</v>
      </c>
      <c r="W12" s="1303"/>
      <c r="X12" s="1304"/>
    </row>
    <row r="13" spans="1:24" s="100" customFormat="1" ht="10.7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1262</v>
      </c>
      <c r="N13" s="645" t="s">
        <v>1267</v>
      </c>
      <c r="O13" s="645" t="s">
        <v>1271</v>
      </c>
      <c r="P13" s="645" t="s">
        <v>1275</v>
      </c>
      <c r="Q13" s="1288">
        <f>(B13/M13)*100</f>
        <v>122.60927631395899</v>
      </c>
      <c r="R13" s="645" t="s">
        <v>1280</v>
      </c>
      <c r="S13" s="646">
        <v>48359</v>
      </c>
      <c r="T13" s="645"/>
      <c r="U13" s="645" t="s">
        <v>1290</v>
      </c>
      <c r="V13" s="646">
        <v>52193</v>
      </c>
      <c r="W13" s="645" t="s">
        <v>1286</v>
      </c>
      <c r="X13" s="957"/>
    </row>
    <row r="14" spans="1:24" s="274" customFormat="1" ht="10.7" customHeight="1">
      <c r="A14" s="278"/>
      <c r="B14" s="1302">
        <f>(B13/68.8)*10</f>
        <v>102481.39534883722</v>
      </c>
      <c r="C14" s="1302">
        <f>(C13/68.8)*10</f>
        <v>110606.54069767443</v>
      </c>
      <c r="D14" s="1302">
        <f>(D13/68.8)*10</f>
        <v>349.85465116279073</v>
      </c>
      <c r="E14" s="1302">
        <f>(E13/68.8)*10</f>
        <v>110956.39534883722</v>
      </c>
      <c r="F14" s="1302">
        <f>(F13/68.8)*10</f>
        <v>81644.476744186046</v>
      </c>
      <c r="G14" s="1302"/>
      <c r="H14" s="1302">
        <f>(H13/68.8)*10</f>
        <v>20836.918604651164</v>
      </c>
      <c r="I14" s="1302">
        <f>(I13/68.8)*10</f>
        <v>29311.337209302328</v>
      </c>
      <c r="J14" s="1302"/>
      <c r="K14" s="1302">
        <f>(K13/68.8)*10</f>
        <v>26856.39534883721</v>
      </c>
      <c r="L14" s="1303"/>
      <c r="M14" s="1303"/>
      <c r="N14" s="1303"/>
      <c r="O14" s="1303"/>
      <c r="P14" s="1303"/>
      <c r="Q14" s="1303"/>
      <c r="R14" s="1303"/>
      <c r="S14" s="1302">
        <f>S13/68.8</f>
        <v>702.89244186046517</v>
      </c>
      <c r="T14" s="1303"/>
      <c r="U14" s="1303"/>
      <c r="V14" s="1302">
        <f>V13/68.8</f>
        <v>758.61918604651169</v>
      </c>
      <c r="W14" s="1303"/>
      <c r="X14" s="1304"/>
    </row>
    <row r="15" spans="1:24" s="100" customFormat="1" ht="10.7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1263</v>
      </c>
      <c r="N15" s="645" t="s">
        <v>1268</v>
      </c>
      <c r="O15" s="645" t="s">
        <v>1272</v>
      </c>
      <c r="P15" s="645" t="s">
        <v>1276</v>
      </c>
      <c r="Q15" s="1288">
        <f>(B15/M15)*100</f>
        <v>131.3692869508497</v>
      </c>
      <c r="R15" s="645" t="s">
        <v>1281</v>
      </c>
      <c r="S15" s="646">
        <v>53961</v>
      </c>
      <c r="T15" s="645"/>
      <c r="U15" s="645" t="s">
        <v>1291</v>
      </c>
      <c r="V15" s="646">
        <v>58332</v>
      </c>
      <c r="W15" s="645" t="s">
        <v>1287</v>
      </c>
      <c r="X15" s="958"/>
    </row>
    <row r="16" spans="1:24" s="274" customFormat="1" ht="10.7" customHeight="1">
      <c r="A16" s="278"/>
      <c r="B16" s="1302">
        <f>(B15/69.18)*10</f>
        <v>115284.61983232148</v>
      </c>
      <c r="C16" s="1302">
        <f>(C15/69.18)*10</f>
        <v>124623.01243133852</v>
      </c>
      <c r="D16" s="1302">
        <f>(D15/69.18)*10</f>
        <v>614.0503035559409</v>
      </c>
      <c r="E16" s="1302">
        <f>(E15/69.18)*10</f>
        <v>125237.06273489445</v>
      </c>
      <c r="F16" s="1302">
        <f>(F15/69.18)*10</f>
        <v>91293.871061000274</v>
      </c>
      <c r="G16" s="1302"/>
      <c r="H16" s="1302">
        <f>(H15/69.18)*10</f>
        <v>23990.748771321189</v>
      </c>
      <c r="I16" s="1302">
        <f>(I15/69.18)*10</f>
        <v>33943.191673894187</v>
      </c>
      <c r="J16" s="1302"/>
      <c r="K16" s="1302">
        <f>(K15/69.18)*10</f>
        <v>30258.311650766114</v>
      </c>
      <c r="L16" s="1303"/>
      <c r="M16" s="1303"/>
      <c r="N16" s="1303"/>
      <c r="O16" s="1303"/>
      <c r="P16" s="1303"/>
      <c r="Q16" s="1303"/>
      <c r="R16" s="1303"/>
      <c r="S16" s="1302">
        <f>S15/69.18</f>
        <v>780.0086730268863</v>
      </c>
      <c r="T16" s="1303"/>
      <c r="U16" s="1303"/>
      <c r="V16" s="1302">
        <f>V15/69.18</f>
        <v>843.19167389418897</v>
      </c>
      <c r="W16" s="1303"/>
      <c r="X16" s="1305"/>
    </row>
    <row r="17" spans="1:24" s="100" customFormat="1" ht="10.7" customHeight="1">
      <c r="A17" s="354" t="s">
        <v>198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1152</v>
      </c>
      <c r="N17" s="645" t="s">
        <v>1175</v>
      </c>
      <c r="O17" s="645" t="s">
        <v>1153</v>
      </c>
      <c r="P17" s="645" t="s">
        <v>1154</v>
      </c>
      <c r="Q17" s="1288">
        <f>(B17/M17)*100</f>
        <v>141.694180480303</v>
      </c>
      <c r="R17" s="645" t="s">
        <v>900</v>
      </c>
      <c r="S17" s="646">
        <v>61198</v>
      </c>
      <c r="T17" s="645"/>
      <c r="U17" s="1288">
        <v>43190</v>
      </c>
      <c r="V17" s="646">
        <v>66044</v>
      </c>
      <c r="W17" s="645" t="s">
        <v>1178</v>
      </c>
      <c r="X17" s="958"/>
    </row>
    <row r="18" spans="1:24" s="278" customFormat="1" ht="10.7" customHeight="1">
      <c r="B18" s="1302">
        <f>(B17/71.17)*10</f>
        <v>128681.88843613882</v>
      </c>
      <c r="C18" s="1302">
        <f>(C17/71.17)*10</f>
        <v>138870.59154137981</v>
      </c>
      <c r="D18" s="1302">
        <f>(D17/71.17)*10</f>
        <v>435.85780525502315</v>
      </c>
      <c r="E18" s="1302">
        <f>(E17/71.17)*10</f>
        <v>139306.44934663482</v>
      </c>
      <c r="F18" s="1302">
        <f>(F17/71.17)*10</f>
        <v>102145.00491780243</v>
      </c>
      <c r="G18" s="1302"/>
      <c r="H18" s="1302">
        <f>(H17/71.17)*10</f>
        <v>26536.883518336377</v>
      </c>
      <c r="I18" s="1302">
        <f>(I17/71.17)*10</f>
        <v>37161.444428832372</v>
      </c>
      <c r="J18" s="1302"/>
      <c r="K18" s="1302">
        <f>(K17/71.17)*10</f>
        <v>35285.794576366447</v>
      </c>
      <c r="L18" s="1303"/>
      <c r="M18" s="1303"/>
      <c r="N18" s="1303"/>
      <c r="O18" s="1303"/>
      <c r="P18" s="1303"/>
      <c r="Q18" s="1303"/>
      <c r="R18" s="1303"/>
      <c r="S18" s="1302">
        <f>S17/71.17</f>
        <v>859.88478291414924</v>
      </c>
      <c r="T18" s="1303"/>
      <c r="U18" s="1303"/>
      <c r="V18" s="1302">
        <f>V17/71.17</f>
        <v>927.97527047913445</v>
      </c>
      <c r="W18" s="1303"/>
      <c r="X18" s="961"/>
    </row>
    <row r="19" spans="1:24" s="100" customFormat="1" ht="10.7" customHeight="1">
      <c r="A19" s="354" t="s">
        <v>789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1155</v>
      </c>
      <c r="N19" s="645" t="s">
        <v>1174</v>
      </c>
      <c r="O19" s="645" t="s">
        <v>1156</v>
      </c>
      <c r="P19" s="645" t="s">
        <v>1157</v>
      </c>
      <c r="Q19" s="1288">
        <f>(B19/M19)*100</f>
        <v>153.26285089318264</v>
      </c>
      <c r="R19" s="645" t="s">
        <v>901</v>
      </c>
      <c r="S19" s="646">
        <v>69614</v>
      </c>
      <c r="T19" s="645"/>
      <c r="U19" s="1288">
        <v>45421</v>
      </c>
      <c r="V19" s="646">
        <v>75505</v>
      </c>
      <c r="W19" s="645" t="s">
        <v>1177</v>
      </c>
      <c r="X19" s="957"/>
    </row>
    <row r="20" spans="1:24" s="274" customFormat="1" ht="10.7" customHeight="1">
      <c r="A20" s="278"/>
      <c r="B20" s="1302">
        <f>(B19/79.1)*10</f>
        <v>133401.26422250317</v>
      </c>
      <c r="C20" s="1302">
        <f>(C19/79.1)*10</f>
        <v>144691.02402022757</v>
      </c>
      <c r="D20" s="1302">
        <f>(D19/79.1)*10</f>
        <v>226.42225031605562</v>
      </c>
      <c r="E20" s="1302">
        <f>(E19/79.1)*10</f>
        <v>144917.44627054362</v>
      </c>
      <c r="F20" s="1302">
        <f>(F19/79.1)*10</f>
        <v>105088.49557522124</v>
      </c>
      <c r="G20" s="1302"/>
      <c r="H20" s="1302">
        <f>(H19/79.1)*10</f>
        <v>28312.768647281922</v>
      </c>
      <c r="I20" s="1302">
        <f>(I19/79.1)*10</f>
        <v>39828.950695322375</v>
      </c>
      <c r="J20" s="1302"/>
      <c r="K20" s="1302">
        <f>(K19/79.1)*10</f>
        <v>37702.275600505687</v>
      </c>
      <c r="L20" s="1303"/>
      <c r="M20" s="1303"/>
      <c r="N20" s="1303"/>
      <c r="O20" s="1303"/>
      <c r="P20" s="1303"/>
      <c r="Q20" s="1303"/>
      <c r="R20" s="1303"/>
      <c r="S20" s="1302">
        <f>S19/79.1</f>
        <v>880.07585335018973</v>
      </c>
      <c r="T20" s="1303"/>
      <c r="U20" s="1303"/>
      <c r="V20" s="1302">
        <f>V19/79.1</f>
        <v>954.55120101137811</v>
      </c>
      <c r="W20" s="1303"/>
      <c r="X20" s="1304"/>
    </row>
    <row r="21" spans="1:24" s="100" customFormat="1" ht="10.7" customHeight="1">
      <c r="A21" s="354" t="s">
        <v>905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1158</v>
      </c>
      <c r="N21" s="645" t="s">
        <v>1173</v>
      </c>
      <c r="O21" s="645" t="s">
        <v>1160</v>
      </c>
      <c r="P21" s="645" t="s">
        <v>1159</v>
      </c>
      <c r="Q21" s="1288">
        <f>(B21/M21)*100</f>
        <v>164.25920369586393</v>
      </c>
      <c r="R21" s="645" t="s">
        <v>1161</v>
      </c>
      <c r="S21" s="646">
        <v>78009</v>
      </c>
      <c r="T21" s="645"/>
      <c r="U21" s="1288">
        <v>47491</v>
      </c>
      <c r="V21" s="646">
        <v>84283</v>
      </c>
      <c r="W21" s="645" t="s">
        <v>1176</v>
      </c>
      <c r="X21" s="957"/>
    </row>
    <row r="22" spans="1:24" s="278" customFormat="1" ht="10.7" customHeight="1">
      <c r="B22" s="1302">
        <f>(B21/79.93)*10</f>
        <v>149996.62204428873</v>
      </c>
      <c r="C22" s="1302">
        <f>(C21/79.93)*10</f>
        <v>162060.80320280243</v>
      </c>
      <c r="D22" s="1302">
        <f>(D21/79.93)*10</f>
        <v>672.46340547979469</v>
      </c>
      <c r="E22" s="1302">
        <f>(E21/79.93)*10</f>
        <v>162733.26660828223</v>
      </c>
      <c r="F22" s="1302">
        <f>(F21/79.93)*10</f>
        <v>116943.20030026272</v>
      </c>
      <c r="G22" s="1302"/>
      <c r="H22" s="1302">
        <f>(H21/79.93)*10</f>
        <v>33053.421744026018</v>
      </c>
      <c r="I22" s="1302">
        <f>(I21/79.93)*10</f>
        <v>45790.05379707244</v>
      </c>
      <c r="J22" s="1302"/>
      <c r="K22" s="1302">
        <f>(K21/79.93)*10</f>
        <v>42583.510571750274</v>
      </c>
      <c r="L22" s="1303"/>
      <c r="M22" s="1303"/>
      <c r="N22" s="1303"/>
      <c r="O22" s="1303"/>
      <c r="P22" s="1303"/>
      <c r="Q22" s="1303"/>
      <c r="R22" s="1303"/>
      <c r="S22" s="1302">
        <f>S21/79.93</f>
        <v>975.96647066182902</v>
      </c>
      <c r="T22" s="1303"/>
      <c r="U22" s="1303"/>
      <c r="V22" s="1302">
        <f>V21/79.93</f>
        <v>1054.4601526335543</v>
      </c>
      <c r="W22" s="1303"/>
      <c r="X22" s="961"/>
    </row>
    <row r="23" spans="1:24" s="382" customFormat="1" ht="10.7" customHeight="1">
      <c r="A23" s="354" t="s">
        <v>1104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1255</v>
      </c>
      <c r="N23" s="645">
        <v>825728</v>
      </c>
      <c r="O23" s="645" t="s">
        <v>1256</v>
      </c>
      <c r="P23" s="645" t="s">
        <v>1257</v>
      </c>
      <c r="Q23" s="1288">
        <f>(B23/M23)*100</f>
        <v>173.57079376233634</v>
      </c>
      <c r="R23" s="645" t="s">
        <v>1162</v>
      </c>
      <c r="S23" s="646">
        <v>86266</v>
      </c>
      <c r="T23" s="645"/>
      <c r="U23" s="1288">
        <v>49701</v>
      </c>
      <c r="V23" s="646">
        <v>92015</v>
      </c>
      <c r="W23" s="645" t="s">
        <v>1319</v>
      </c>
      <c r="X23" s="960"/>
    </row>
    <row r="24" spans="1:24" s="278" customFormat="1" ht="10.7" customHeight="1">
      <c r="B24" s="1302">
        <f>(B23/77.72)*10</f>
        <v>172886.51569737517</v>
      </c>
      <c r="C24" s="1302">
        <f>(C23/77.72)*10</f>
        <v>184408.64642305713</v>
      </c>
      <c r="D24" s="1302">
        <f>(D23/77.72)*10</f>
        <v>814.97683993823989</v>
      </c>
      <c r="E24" s="1302">
        <f>(E23/77.72)*10</f>
        <v>185223.62326299539</v>
      </c>
      <c r="F24" s="1302">
        <f>(F23/77.72)*10</f>
        <v>134695.83118888317</v>
      </c>
      <c r="G24" s="1302"/>
      <c r="H24" s="1302">
        <f>(H23/77.72)*10</f>
        <v>38190.555841482244</v>
      </c>
      <c r="I24" s="1302">
        <f>(I23/77.72)*10</f>
        <v>50527.663407102416</v>
      </c>
      <c r="J24" s="1302"/>
      <c r="K24" s="1302">
        <f>(K23/77.72)*10</f>
        <v>49407.359752959346</v>
      </c>
      <c r="L24" s="1303"/>
      <c r="M24" s="1303"/>
      <c r="N24" s="1303"/>
      <c r="O24" s="1303"/>
      <c r="P24" s="1303"/>
      <c r="Q24" s="1303"/>
      <c r="R24" s="1303"/>
      <c r="S24" s="1302">
        <f>S23/77.72</f>
        <v>1109.9588265568709</v>
      </c>
      <c r="T24" s="1303"/>
      <c r="U24" s="1303"/>
      <c r="V24" s="1302">
        <f>V23/77.72</f>
        <v>1183.9294904786414</v>
      </c>
      <c r="W24" s="1303"/>
      <c r="X24" s="961"/>
    </row>
    <row r="25" spans="1:24" s="382" customFormat="1" ht="10.7" customHeight="1">
      <c r="A25" s="354" t="s">
        <v>1163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1315</v>
      </c>
      <c r="N25" s="645" t="s">
        <v>1316</v>
      </c>
      <c r="O25" s="645" t="s">
        <v>1317</v>
      </c>
      <c r="P25" s="645" t="s">
        <v>1318</v>
      </c>
      <c r="Q25" s="1288">
        <f>(B25/M25)*100</f>
        <v>183.76431451564019</v>
      </c>
      <c r="R25" s="645" t="s">
        <v>1258</v>
      </c>
      <c r="S25" s="646">
        <v>96004</v>
      </c>
      <c r="T25" s="645"/>
      <c r="U25" s="646">
        <v>52240</v>
      </c>
      <c r="V25" s="646">
        <v>102236</v>
      </c>
      <c r="W25" s="645" t="s">
        <v>1349</v>
      </c>
      <c r="X25" s="959"/>
    </row>
    <row r="26" spans="1:24" s="278" customFormat="1" ht="10.7" customHeight="1">
      <c r="B26" s="1302">
        <f>(B25/77.67)*10</f>
        <v>195159.26355092056</v>
      </c>
      <c r="C26" s="1302">
        <f>(C25/77.67)*10</f>
        <v>207828.50521436849</v>
      </c>
      <c r="D26" s="1302">
        <f>(D25/77.67)*10</f>
        <v>720.99909875112655</v>
      </c>
      <c r="E26" s="1302">
        <f>(E25/77.67)*10</f>
        <v>208549.50431311963</v>
      </c>
      <c r="F26" s="1302">
        <f>(F25/77.67)*10</f>
        <v>151915.02510621861</v>
      </c>
      <c r="G26" s="1302"/>
      <c r="H26" s="1302">
        <f>(H25/77.67)*10</f>
        <v>43244.36719454101</v>
      </c>
      <c r="I26" s="1302">
        <f>(I25/77.67)*10</f>
        <v>56634.607956740059</v>
      </c>
      <c r="J26" s="1302"/>
      <c r="K26" s="1302">
        <f>(K25/77.67)*10</f>
        <v>56375.048281189651</v>
      </c>
      <c r="L26" s="1303"/>
      <c r="M26" s="1303"/>
      <c r="N26" s="1303"/>
      <c r="O26" s="1303"/>
      <c r="P26" s="1303"/>
      <c r="Q26" s="1303"/>
      <c r="R26" s="1303"/>
      <c r="S26" s="1302">
        <f>S25/77.67</f>
        <v>1236.0499549375563</v>
      </c>
      <c r="T26" s="1303"/>
      <c r="U26" s="1303"/>
      <c r="V26" s="1302">
        <f>V25/77.67</f>
        <v>1316.2868546414318</v>
      </c>
      <c r="W26" s="1303"/>
      <c r="X26" s="961"/>
    </row>
    <row r="27" spans="1:24" s="382" customFormat="1" ht="10.7" customHeight="1">
      <c r="A27" s="1306" t="s">
        <v>1295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88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9"/>
    </row>
    <row r="28" spans="1:24" s="278" customFormat="1" ht="10.7" customHeight="1">
      <c r="B28" s="1302">
        <f>(B27/78.2658)*10</f>
        <v>221407.56243467773</v>
      </c>
      <c r="C28" s="1302">
        <f>(C27/78.2658)*10</f>
        <v>234160.38678452146</v>
      </c>
      <c r="D28" s="1302">
        <f>(D27/78.2658)*10</f>
        <v>74.489751590094272</v>
      </c>
      <c r="E28" s="1302">
        <f>(E27/78.2658)*10</f>
        <v>234234.87653611155</v>
      </c>
      <c r="F28" s="1302">
        <f>(F27/78.2658)*10</f>
        <v>166104.99094112628</v>
      </c>
      <c r="G28" s="1302"/>
      <c r="H28" s="1302">
        <f>(H27/78.2658)*10</f>
        <v>55302.571493551455</v>
      </c>
      <c r="I28" s="1302">
        <f>(I27/78.2658)*10</f>
        <v>68129.885594985302</v>
      </c>
      <c r="J28" s="1302"/>
      <c r="K28" s="1302">
        <f>(K27/78.2658)*10</f>
        <v>65653.06941218258</v>
      </c>
      <c r="L28" s="1303"/>
      <c r="M28" s="1303"/>
      <c r="N28" s="1303"/>
      <c r="O28" s="1303"/>
      <c r="P28" s="1303"/>
      <c r="Q28" s="1303"/>
      <c r="R28" s="1303"/>
      <c r="S28" s="1302">
        <f>(S27/78.2658)</f>
        <v>1384.742761206044</v>
      </c>
      <c r="T28" s="1303"/>
      <c r="U28" s="1303"/>
      <c r="V28" s="1302">
        <f>(V27/78.2658)</f>
        <v>1464.5094025743044</v>
      </c>
      <c r="W28" s="1303"/>
      <c r="X28" s="961"/>
    </row>
    <row r="29" spans="1:24" s="382" customFormat="1" ht="10.7" customHeight="1">
      <c r="A29" s="354" t="s">
        <v>1328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88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9"/>
    </row>
    <row r="30" spans="1:24" s="278" customFormat="1" ht="10.7" customHeight="1">
      <c r="B30" s="1302">
        <f>(B29/79.119175)*10</f>
        <v>249726.69393986985</v>
      </c>
      <c r="C30" s="1302">
        <f>(C29/79.119175)*10</f>
        <v>260457.46811692615</v>
      </c>
      <c r="D30" s="1302">
        <f>(D29/79.119175)*10</f>
        <v>44.616238731002944</v>
      </c>
      <c r="E30" s="1302">
        <f>(E29/79.119175)*10</f>
        <v>260501.83157243489</v>
      </c>
      <c r="F30" s="1302">
        <f>(F29/79.119175)*10</f>
        <v>186472.62183914328</v>
      </c>
      <c r="G30" s="1302"/>
      <c r="H30" s="1302">
        <f>(H29/79.119175)*10</f>
        <v>63253.945709115396</v>
      </c>
      <c r="I30" s="1302">
        <f>(I29/79.119175)*10</f>
        <v>74029.336124902722</v>
      </c>
      <c r="J30" s="1302"/>
      <c r="K30" s="1302">
        <f>(K29/79.119175)*10</f>
        <v>76192.654941106244</v>
      </c>
      <c r="L30" s="1303"/>
      <c r="M30" s="1303"/>
      <c r="N30" s="1303"/>
      <c r="O30" s="1303"/>
      <c r="P30" s="1303"/>
      <c r="Q30" s="1303"/>
      <c r="R30" s="1303"/>
      <c r="S30" s="1302">
        <f>(S29/79.119175)</f>
        <v>1543.8988083482923</v>
      </c>
      <c r="T30" s="1303"/>
      <c r="U30" s="1303"/>
      <c r="V30" s="1302">
        <f>(V29/79.119175)</f>
        <v>1610.2470980953703</v>
      </c>
      <c r="W30" s="1303"/>
      <c r="X30" s="961"/>
    </row>
    <row r="31" spans="1:24" s="382" customFormat="1" ht="10.7" customHeight="1">
      <c r="A31" s="354" t="s">
        <v>1467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88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9"/>
    </row>
    <row r="32" spans="1:24" s="278" customFormat="1" ht="10.7" customHeight="1">
      <c r="B32" s="1302">
        <f>(B31/82.100874)*10</f>
        <v>274111.69825061789</v>
      </c>
      <c r="C32" s="1302">
        <f>(C31/82.100874)*10</f>
        <v>286611.93058675597</v>
      </c>
      <c r="D32" s="1302">
        <f>(D31/82.100874)*10</f>
        <v>60.291684592785217</v>
      </c>
      <c r="E32" s="1302">
        <f>(E31/82.100874)*10</f>
        <v>286672.10046996572</v>
      </c>
      <c r="F32" s="1302">
        <f>(F31/82.100874)*10</f>
        <v>211518.69832713349</v>
      </c>
      <c r="G32" s="1302"/>
      <c r="H32" s="1302">
        <f>(H31/82.100874)*10</f>
        <v>62592.756320718334</v>
      </c>
      <c r="I32" s="1302">
        <f>(I31/82.100874)*10</f>
        <v>75153.40214283223</v>
      </c>
      <c r="J32" s="1302"/>
      <c r="K32" s="1302">
        <f>(K31/82.100874)*10</f>
        <v>85618.576971543574</v>
      </c>
      <c r="L32" s="1303"/>
      <c r="M32" s="1303"/>
      <c r="N32" s="1303"/>
      <c r="O32" s="1303"/>
      <c r="P32" s="1303"/>
      <c r="Q32" s="1303"/>
      <c r="R32" s="1303"/>
      <c r="S32" s="1302">
        <f>(S31/82.100874)</f>
        <v>1674.9874625763391</v>
      </c>
      <c r="T32" s="1303"/>
      <c r="U32" s="1303"/>
      <c r="V32" s="1302">
        <f>(V31/82.100874)</f>
        <v>1751.369906244847</v>
      </c>
      <c r="W32" s="1303"/>
      <c r="X32" s="961"/>
    </row>
    <row r="33" spans="1:24" s="382" customFormat="1" ht="10.7" customHeight="1">
      <c r="A33" s="438" t="s">
        <v>1596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88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9"/>
    </row>
    <row r="34" spans="1:24" s="278" customFormat="1" ht="10.7" customHeight="1">
      <c r="B34" s="1302">
        <f>(B33/84.03)*10</f>
        <v>302568.60645007738</v>
      </c>
      <c r="C34" s="1302">
        <f>(C33/84.03)*10</f>
        <v>316088.77781744616</v>
      </c>
      <c r="D34" s="1302">
        <f>(D33/84.03)*10</f>
        <v>25.586100202308696</v>
      </c>
      <c r="E34" s="1302">
        <f>(E33/84.03)*10</f>
        <v>316114.12590741401</v>
      </c>
      <c r="F34" s="1302">
        <f>(F33/84.03)*10</f>
        <v>226855.40878257767</v>
      </c>
      <c r="G34" s="1302"/>
      <c r="H34" s="1302">
        <f>(H33/84.03)*10</f>
        <v>75713.078662382482</v>
      </c>
      <c r="I34" s="1302">
        <f>(I33/84.03)*10</f>
        <v>89258.717124836374</v>
      </c>
      <c r="J34" s="1302"/>
      <c r="K34" s="1302">
        <f>(K33/84.03)*10</f>
        <v>95521.837439009862</v>
      </c>
      <c r="L34" s="1303"/>
      <c r="M34" s="1303"/>
      <c r="N34" s="1303"/>
      <c r="O34" s="1303"/>
      <c r="P34" s="1303"/>
      <c r="Q34" s="1303"/>
      <c r="R34" s="1303"/>
      <c r="S34" s="1302">
        <f>(S33/84.03)</f>
        <v>1827.6569401998029</v>
      </c>
      <c r="T34" s="1303"/>
      <c r="U34" s="1303"/>
      <c r="V34" s="1302">
        <f>(V33/84.03)</f>
        <v>1909.3300011900512</v>
      </c>
      <c r="W34" s="1303"/>
      <c r="X34" s="961"/>
    </row>
    <row r="35" spans="1:24" s="382" customFormat="1" ht="10.7" customHeight="1">
      <c r="A35" s="354" t="s">
        <v>1691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88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9"/>
    </row>
    <row r="36" spans="1:24" s="278" customFormat="1" ht="10.7" customHeight="1">
      <c r="B36" s="1302">
        <f>(B35/84.78)*10</f>
        <v>323110.63930172211</v>
      </c>
      <c r="C36" s="1302">
        <f>(C35/84.78)*10</f>
        <v>338904.22269403166</v>
      </c>
      <c r="D36" s="1302">
        <f>(D35/84.78)*10</f>
        <v>24.180231186600611</v>
      </c>
      <c r="E36" s="1302">
        <f>(E35/84.78)*10</f>
        <v>338928.40292521816</v>
      </c>
      <c r="F36" s="1302">
        <f>(F35/84.78)*10</f>
        <v>246294.0552016985</v>
      </c>
      <c r="G36" s="1302"/>
      <c r="H36" s="1302">
        <f>(H35/84.78)*10</f>
        <v>76816.702052370834</v>
      </c>
      <c r="I36" s="1302">
        <f>(I35/84.78)*10</f>
        <v>92634.347723519691</v>
      </c>
      <c r="J36" s="1302"/>
      <c r="K36" s="1302">
        <f>(K35/84.78)*10</f>
        <v>98446.685539042228</v>
      </c>
      <c r="L36" s="1303"/>
      <c r="M36" s="1303"/>
      <c r="N36" s="1303"/>
      <c r="O36" s="1303"/>
      <c r="P36" s="1303"/>
      <c r="Q36" s="1303"/>
      <c r="R36" s="1303"/>
      <c r="S36" s="1302">
        <f>(S35/84.78)</f>
        <v>1929.8252362284065</v>
      </c>
      <c r="T36" s="1303"/>
      <c r="U36" s="1303"/>
      <c r="V36" s="1302">
        <f>(V35/84.78)</f>
        <v>2024.1566407171501</v>
      </c>
      <c r="W36" s="1303"/>
      <c r="X36" s="961"/>
    </row>
    <row r="37" spans="1:24" s="382" customFormat="1" ht="10.7" customHeight="1">
      <c r="A37" s="354" t="s">
        <v>2168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88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9"/>
    </row>
    <row r="38" spans="1:24" s="278" customFormat="1" ht="10.7" customHeight="1">
      <c r="B38" s="1302">
        <f>(B37/84.81)*10</f>
        <v>355036.55229336163</v>
      </c>
      <c r="C38" s="1302">
        <f>(C37/84.81)*10</f>
        <v>377055.88963565615</v>
      </c>
      <c r="D38" s="1302">
        <f>(D37/84.81)*10</f>
        <v>48.461266360099046</v>
      </c>
      <c r="E38" s="1302">
        <f>(E37/84.81)*10</f>
        <v>377104.35090201622</v>
      </c>
      <c r="F38" s="1302">
        <f>(F37/84.81)*10</f>
        <v>269223.91227449593</v>
      </c>
      <c r="G38" s="1302"/>
      <c r="H38" s="1302">
        <f>(H37/84.81)*10</f>
        <v>85812.640018865699</v>
      </c>
      <c r="I38" s="1302">
        <f>(I37/84.81)*10</f>
        <v>107880.43862752034</v>
      </c>
      <c r="J38" s="1302"/>
      <c r="K38" s="1302">
        <f>(K37/84.81)*10</f>
        <v>106237.82572809811</v>
      </c>
      <c r="L38" s="1303"/>
      <c r="M38" s="1303"/>
      <c r="N38" s="1303"/>
      <c r="O38" s="1303"/>
      <c r="P38" s="1303"/>
      <c r="Q38" s="1303"/>
      <c r="R38" s="1303"/>
      <c r="S38" s="1302">
        <f>(S37/84.81)</f>
        <v>2096.9615043019407</v>
      </c>
      <c r="T38" s="1303"/>
      <c r="U38" s="1303"/>
      <c r="V38" s="1302">
        <f>(V37/84.81)</f>
        <v>2227.0133239004836</v>
      </c>
      <c r="W38" s="1303"/>
      <c r="X38" s="961"/>
    </row>
    <row r="39" spans="1:24" s="382" customFormat="1" ht="10.7" customHeight="1">
      <c r="A39" s="1307" t="s">
        <v>2305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9"/>
    </row>
    <row r="40" spans="1:24" s="450" customFormat="1" ht="10.7" customHeight="1">
      <c r="A40" s="593" t="s">
        <v>1295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303" t="s">
        <v>2306</v>
      </c>
      <c r="N40" s="1303" t="s">
        <v>2307</v>
      </c>
      <c r="O40" s="1303" t="s">
        <v>305</v>
      </c>
      <c r="P40" s="1303" t="s">
        <v>305</v>
      </c>
      <c r="Q40" s="422">
        <f>(B40/M40)*100</f>
        <v>100</v>
      </c>
      <c r="R40" s="1303" t="s">
        <v>2308</v>
      </c>
      <c r="S40" s="643">
        <v>129828</v>
      </c>
      <c r="T40" s="1303"/>
      <c r="U40" s="422">
        <f>M40/R40</f>
        <v>129819.94996873045</v>
      </c>
      <c r="V40" s="643">
        <v>135911</v>
      </c>
      <c r="W40" s="422">
        <f>N40/R40</f>
        <v>135902.12632895561</v>
      </c>
      <c r="X40" s="1308"/>
    </row>
    <row r="41" spans="1:24" s="1310" customFormat="1" ht="10.7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309"/>
    </row>
    <row r="42" spans="1:24" s="450" customFormat="1" ht="10.7" customHeight="1">
      <c r="A42" s="278" t="s">
        <v>1328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303" t="s">
        <v>2309</v>
      </c>
      <c r="N42" s="1303" t="s">
        <v>2310</v>
      </c>
      <c r="O42" s="1303" t="s">
        <v>2311</v>
      </c>
      <c r="P42" s="1303" t="s">
        <v>2312</v>
      </c>
      <c r="Q42" s="422">
        <f>(B42/M42)*100</f>
        <v>105.04758379534154</v>
      </c>
      <c r="R42" s="1303" t="s">
        <v>2313</v>
      </c>
      <c r="S42" s="643">
        <v>143698</v>
      </c>
      <c r="T42" s="1303"/>
      <c r="U42" s="422">
        <f>M42/R42</f>
        <v>136750.49443757726</v>
      </c>
      <c r="V42" s="643">
        <v>148659</v>
      </c>
      <c r="W42" s="422">
        <f>N42/R42</f>
        <v>141472.00247218789</v>
      </c>
      <c r="X42" s="1308"/>
    </row>
    <row r="43" spans="1:24" s="1310" customFormat="1" ht="10.7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309"/>
    </row>
    <row r="44" spans="1:24" s="450" customFormat="1" ht="10.7" customHeight="1">
      <c r="A44" s="278" t="s">
        <v>1467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303" t="s">
        <v>2314</v>
      </c>
      <c r="N44" s="1303" t="s">
        <v>2315</v>
      </c>
      <c r="O44" s="1303" t="s">
        <v>2316</v>
      </c>
      <c r="P44" s="1303" t="s">
        <v>2317</v>
      </c>
      <c r="Q44" s="422">
        <f>(B44/M44)*100</f>
        <v>111.14616769155225</v>
      </c>
      <c r="R44" s="1303" t="s">
        <v>2318</v>
      </c>
      <c r="S44" s="643">
        <v>161274</v>
      </c>
      <c r="T44" s="1303"/>
      <c r="U44" s="422">
        <f>M44/R44</f>
        <v>145056.4447159438</v>
      </c>
      <c r="V44" s="643">
        <v>167723</v>
      </c>
      <c r="W44" s="422">
        <f>N44/R44</f>
        <v>150857.23885155772</v>
      </c>
      <c r="X44" s="1308"/>
    </row>
    <row r="45" spans="1:24" s="1310" customFormat="1" ht="10.7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309"/>
    </row>
    <row r="46" spans="1:24" s="450" customFormat="1" ht="10.7" customHeight="1">
      <c r="A46" s="424" t="s">
        <v>1596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303" t="s">
        <v>2319</v>
      </c>
      <c r="N46" s="1303" t="s">
        <v>2320</v>
      </c>
      <c r="O46" s="1303" t="s">
        <v>2321</v>
      </c>
      <c r="P46" s="1303" t="s">
        <v>2322</v>
      </c>
      <c r="Q46" s="422">
        <f>(B46/M46)*100</f>
        <v>115.21206712947783</v>
      </c>
      <c r="R46" s="1303" t="s">
        <v>2323</v>
      </c>
      <c r="S46" s="643">
        <v>178280</v>
      </c>
      <c r="T46" s="1303"/>
      <c r="U46" s="422">
        <f>M46/R46</f>
        <v>154694.20289855075</v>
      </c>
      <c r="V46" s="643">
        <v>185583</v>
      </c>
      <c r="W46" s="422">
        <f>N46/R46</f>
        <v>161030.67632850242</v>
      </c>
      <c r="X46" s="1308"/>
    </row>
    <row r="47" spans="1:24" s="1310" customFormat="1" ht="10.7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309"/>
    </row>
    <row r="48" spans="1:24" s="450" customFormat="1" ht="10.7" customHeight="1">
      <c r="A48" s="278" t="s">
        <v>1691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308"/>
    </row>
    <row r="49" spans="1:24" s="1310" customFormat="1" ht="10.7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309"/>
    </row>
    <row r="50" spans="1:24" s="450" customFormat="1" ht="10.7" customHeight="1">
      <c r="A50" s="278" t="s">
        <v>1760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308"/>
    </row>
    <row r="51" spans="1:24" s="1310" customFormat="1" ht="10.7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309"/>
    </row>
    <row r="52" spans="1:24" s="1310" customFormat="1" ht="10.7" customHeight="1">
      <c r="A52" s="278" t="s">
        <v>2431</v>
      </c>
      <c r="B52" s="643">
        <v>3976462</v>
      </c>
      <c r="C52" s="643">
        <v>4124071</v>
      </c>
      <c r="D52" s="643">
        <v>7001</v>
      </c>
      <c r="E52" s="643">
        <v>4131072</v>
      </c>
      <c r="F52" s="643">
        <v>3118965</v>
      </c>
      <c r="G52" s="281">
        <f>(F52/B52)*100</f>
        <v>78.435679757533208</v>
      </c>
      <c r="H52" s="643">
        <v>4131072</v>
      </c>
      <c r="I52" s="643">
        <v>1012107</v>
      </c>
      <c r="J52" s="281">
        <f>(I52/B52)*100</f>
        <v>25.452449941681827</v>
      </c>
      <c r="K52" s="643">
        <v>1259882</v>
      </c>
      <c r="L52" s="281">
        <f>(K52/B52)*100</f>
        <v>31.683491505765677</v>
      </c>
      <c r="M52" s="643">
        <v>3039273</v>
      </c>
      <c r="N52" s="643">
        <v>3152093</v>
      </c>
      <c r="O52" s="643">
        <v>12.64</v>
      </c>
      <c r="P52" s="643">
        <v>7.25</v>
      </c>
      <c r="Q52" s="422">
        <f>(B52/M52)*100</f>
        <v>130.83595978380356</v>
      </c>
      <c r="R52" s="281">
        <v>17.079000000000001</v>
      </c>
      <c r="S52" s="643">
        <v>232828</v>
      </c>
      <c r="T52" s="643"/>
      <c r="U52" s="422">
        <f>M52/R52</f>
        <v>177953.80291586157</v>
      </c>
      <c r="V52" s="643">
        <v>241470</v>
      </c>
      <c r="W52" s="422">
        <f>N52/R52</f>
        <v>184559.57608759296</v>
      </c>
      <c r="X52" s="1309"/>
    </row>
    <row r="53" spans="1:24" s="1310" customFormat="1" ht="10.7" customHeight="1" thickBot="1">
      <c r="A53" s="962"/>
      <c r="B53" s="648">
        <f>(B52/85.52)*10</f>
        <v>464974.50888681016</v>
      </c>
      <c r="C53" s="648">
        <f t="shared" ref="C53:F53" si="0">(C52/85.52)*10</f>
        <v>482234.68194574374</v>
      </c>
      <c r="D53" s="648">
        <f t="shared" si="0"/>
        <v>818.6389148737137</v>
      </c>
      <c r="E53" s="648">
        <f t="shared" si="0"/>
        <v>483053.32086061739</v>
      </c>
      <c r="F53" s="648">
        <f t="shared" si="0"/>
        <v>364705.91674462112</v>
      </c>
      <c r="G53" s="648"/>
      <c r="H53" s="648">
        <f>(H52/85.52)*10</f>
        <v>483053.32086061739</v>
      </c>
      <c r="I53" s="648">
        <f>(I52/85.52)*10</f>
        <v>118347.40411599627</v>
      </c>
      <c r="J53" s="648"/>
      <c r="K53" s="648">
        <f>(K52/85.52)*10</f>
        <v>147320.15902712816</v>
      </c>
      <c r="L53" s="649"/>
      <c r="M53" s="649"/>
      <c r="N53" s="649"/>
      <c r="O53" s="649"/>
      <c r="P53" s="649"/>
      <c r="Q53" s="649"/>
      <c r="R53" s="649"/>
      <c r="S53" s="648">
        <v>2723</v>
      </c>
      <c r="T53" s="649"/>
      <c r="U53" s="649"/>
      <c r="V53" s="648">
        <f>(V52/85.52)</f>
        <v>2823.5500467726847</v>
      </c>
      <c r="W53" s="649"/>
      <c r="X53" s="1309"/>
    </row>
    <row r="54" spans="1:24" ht="12" customHeight="1">
      <c r="A54" s="2166" t="s">
        <v>1450</v>
      </c>
      <c r="B54" s="2166"/>
      <c r="C54" s="2166"/>
      <c r="D54" s="2166"/>
      <c r="E54" s="2166"/>
      <c r="F54" s="2166"/>
      <c r="G54" s="9"/>
      <c r="I54" s="52" t="s">
        <v>1767</v>
      </c>
      <c r="J54" s="52"/>
      <c r="K54" s="52"/>
      <c r="L54" s="2167" t="s">
        <v>1369</v>
      </c>
      <c r="M54" s="2167"/>
      <c r="N54" s="2167"/>
      <c r="O54" s="2167"/>
      <c r="P54" s="1293"/>
      <c r="Q54" s="2168" t="s">
        <v>2324</v>
      </c>
      <c r="R54" s="2168"/>
      <c r="S54" s="1293"/>
      <c r="T54" s="52"/>
      <c r="U54" s="33"/>
      <c r="V54" s="13"/>
      <c r="W54" s="52"/>
      <c r="X54" s="54"/>
    </row>
    <row r="55" spans="1:24" ht="9.75" customHeight="1">
      <c r="A55" s="2169"/>
      <c r="B55" s="2169"/>
      <c r="C55" s="2169"/>
      <c r="D55" s="2169"/>
      <c r="E55" s="2170"/>
      <c r="F55" s="2142"/>
      <c r="G55" s="2142"/>
      <c r="H55" s="861"/>
      <c r="I55" s="52"/>
      <c r="J55" s="52"/>
      <c r="K55" s="52"/>
      <c r="L55" s="2171"/>
      <c r="M55" s="2171"/>
      <c r="N55" s="2171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2"/>
      <c r="N56" s="54"/>
      <c r="S56" s="31"/>
    </row>
    <row r="57" spans="1:24">
      <c r="D57" s="812"/>
      <c r="G57" s="90"/>
      <c r="S57" s="31"/>
      <c r="W57" s="812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45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3"/>
  <sheetViews>
    <sheetView zoomScale="202" zoomScaleNormal="202" workbookViewId="0">
      <pane xSplit="1" ySplit="3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47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72" t="s">
        <v>1414</v>
      </c>
      <c r="B1" s="2172"/>
      <c r="C1" s="2172"/>
      <c r="D1" s="2172"/>
      <c r="E1" s="2172"/>
      <c r="F1" s="2173" t="s">
        <v>1497</v>
      </c>
      <c r="G1" s="2173"/>
      <c r="H1" s="2173"/>
      <c r="I1" s="2173"/>
      <c r="J1" s="1049" t="s">
        <v>281</v>
      </c>
    </row>
    <row r="2" spans="1:10" s="5" customFormat="1" ht="11.1" customHeight="1">
      <c r="A2" s="1209"/>
      <c r="B2" s="1209"/>
      <c r="C2" s="1209"/>
      <c r="D2" s="1209"/>
      <c r="G2" s="72"/>
      <c r="H2" s="92"/>
      <c r="I2" s="92"/>
      <c r="J2" s="98"/>
    </row>
    <row r="3" spans="1:10" s="109" customFormat="1" ht="26.45" customHeight="1">
      <c r="A3" s="1728" t="s">
        <v>1017</v>
      </c>
      <c r="B3" s="762" t="s">
        <v>1481</v>
      </c>
      <c r="C3" s="1724" t="s">
        <v>1529</v>
      </c>
      <c r="D3" s="1724" t="s">
        <v>1482</v>
      </c>
      <c r="E3" s="1724" t="s">
        <v>1484</v>
      </c>
      <c r="F3" s="1728" t="s">
        <v>1018</v>
      </c>
      <c r="G3" s="1724" t="s">
        <v>1109</v>
      </c>
      <c r="H3" s="1724" t="s">
        <v>1483</v>
      </c>
      <c r="I3" s="1728" t="s">
        <v>1482</v>
      </c>
      <c r="J3" s="1728" t="s">
        <v>1485</v>
      </c>
    </row>
    <row r="4" spans="1:10" s="12" customFormat="1" ht="12.75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1">
        <v>44896</v>
      </c>
      <c r="G4" s="323">
        <v>6245.38</v>
      </c>
      <c r="H4" s="1041">
        <v>484.75</v>
      </c>
      <c r="I4" s="1041">
        <f>D47</f>
        <v>94676</v>
      </c>
      <c r="J4" s="322">
        <v>400</v>
      </c>
    </row>
    <row r="5" spans="1:10" s="203" customFormat="1" ht="12.75" customHeight="1">
      <c r="A5" s="152" t="s">
        <v>198</v>
      </c>
      <c r="B5" s="29">
        <v>6117.23</v>
      </c>
      <c r="C5" s="30">
        <v>325879.77</v>
      </c>
      <c r="D5" s="30">
        <v>30104.5</v>
      </c>
      <c r="E5" s="29">
        <v>267</v>
      </c>
      <c r="F5" s="880">
        <v>44899</v>
      </c>
      <c r="G5" s="401">
        <v>6224.56</v>
      </c>
      <c r="H5" s="401">
        <v>313.56</v>
      </c>
      <c r="I5" s="594">
        <f>I4</f>
        <v>94676</v>
      </c>
      <c r="J5" s="280">
        <f>J4</f>
        <v>400</v>
      </c>
    </row>
    <row r="6" spans="1:10" s="613" customFormat="1" ht="12.75" customHeight="1">
      <c r="A6" s="438" t="s">
        <v>789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1">
        <v>44900</v>
      </c>
      <c r="G6" s="417">
        <v>6221.55</v>
      </c>
      <c r="H6" s="417">
        <v>344.86</v>
      </c>
      <c r="I6" s="1041">
        <f>I4</f>
        <v>94676</v>
      </c>
      <c r="J6" s="322">
        <f>J5</f>
        <v>400</v>
      </c>
    </row>
    <row r="7" spans="1:10" s="702" customFormat="1" ht="12.75" customHeight="1">
      <c r="A7" s="424" t="s">
        <v>905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80">
        <v>44901</v>
      </c>
      <c r="G7" s="401">
        <v>6229.01</v>
      </c>
      <c r="H7" s="401">
        <v>271.98</v>
      </c>
      <c r="I7" s="594">
        <f>I4</f>
        <v>94676</v>
      </c>
      <c r="J7" s="280">
        <v>400</v>
      </c>
    </row>
    <row r="8" spans="1:10" s="76" customFormat="1" ht="12.75" customHeight="1">
      <c r="A8" s="340" t="s">
        <v>1104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1">
        <v>44902</v>
      </c>
      <c r="G8" s="417">
        <v>6233.68</v>
      </c>
      <c r="H8" s="417">
        <v>311.33</v>
      </c>
      <c r="I8" s="1041">
        <f>I4</f>
        <v>94676</v>
      </c>
      <c r="J8" s="322">
        <v>400</v>
      </c>
    </row>
    <row r="9" spans="1:10" s="526" customFormat="1" ht="12.75" customHeight="1">
      <c r="A9" s="424" t="s">
        <v>1163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80">
        <v>44903</v>
      </c>
      <c r="G9" s="401">
        <v>6227.82</v>
      </c>
      <c r="H9" s="401">
        <v>295.74</v>
      </c>
      <c r="I9" s="594">
        <f>I8</f>
        <v>94676</v>
      </c>
      <c r="J9" s="280">
        <v>400</v>
      </c>
    </row>
    <row r="10" spans="1:10" s="76" customFormat="1" ht="12.75" customHeight="1">
      <c r="A10" s="438" t="s">
        <v>1295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1">
        <v>44906</v>
      </c>
      <c r="G10" s="417">
        <v>6239.55</v>
      </c>
      <c r="H10" s="417">
        <v>414.85</v>
      </c>
      <c r="I10" s="1041">
        <f>I4</f>
        <v>94676</v>
      </c>
      <c r="J10" s="322">
        <f t="shared" ref="J10:J23" si="0">J9</f>
        <v>400</v>
      </c>
    </row>
    <row r="11" spans="1:10" s="526" customFormat="1" ht="12.75" customHeight="1">
      <c r="A11" s="424" t="s">
        <v>1328</v>
      </c>
      <c r="B11" s="281">
        <v>5656.05</v>
      </c>
      <c r="C11" s="281">
        <v>180522.2</v>
      </c>
      <c r="D11" s="281">
        <v>61656.5</v>
      </c>
      <c r="E11" s="280">
        <v>334</v>
      </c>
      <c r="F11" s="880">
        <v>44907</v>
      </c>
      <c r="G11" s="401">
        <v>6266.96</v>
      </c>
      <c r="H11" s="401">
        <v>568.9</v>
      </c>
      <c r="I11" s="594">
        <f>I4</f>
        <v>94676</v>
      </c>
      <c r="J11" s="280">
        <f t="shared" si="0"/>
        <v>400</v>
      </c>
    </row>
    <row r="12" spans="1:10" s="526" customFormat="1" ht="12.75" customHeight="1">
      <c r="A12" s="438" t="s">
        <v>1467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1">
        <v>44908</v>
      </c>
      <c r="G12" s="417">
        <v>6271.41</v>
      </c>
      <c r="H12" s="417">
        <v>616.41999999999996</v>
      </c>
      <c r="I12" s="1041">
        <f>I4</f>
        <v>94676</v>
      </c>
      <c r="J12" s="322">
        <f t="shared" si="0"/>
        <v>400</v>
      </c>
    </row>
    <row r="13" spans="1:10" s="526" customFormat="1" ht="12.75" customHeight="1">
      <c r="A13" s="424" t="s">
        <v>1596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80">
        <v>44909</v>
      </c>
      <c r="G13" s="401">
        <v>6260.77</v>
      </c>
      <c r="H13" s="401">
        <v>430.21</v>
      </c>
      <c r="I13" s="594">
        <f>I12</f>
        <v>94676</v>
      </c>
      <c r="J13" s="280">
        <f t="shared" si="0"/>
        <v>400</v>
      </c>
    </row>
    <row r="14" spans="1:10" s="526" customFormat="1" ht="12.75" customHeight="1">
      <c r="A14" s="670" t="s">
        <v>1691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1">
        <v>44910</v>
      </c>
      <c r="G14" s="417">
        <v>6056.83</v>
      </c>
      <c r="H14" s="1041">
        <v>425.27</v>
      </c>
      <c r="I14" s="1041">
        <f>I4</f>
        <v>94676</v>
      </c>
      <c r="J14" s="322">
        <f t="shared" si="0"/>
        <v>400</v>
      </c>
    </row>
    <row r="15" spans="1:10" s="526" customFormat="1" ht="12.75" customHeight="1">
      <c r="A15" s="618" t="s">
        <v>1760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80">
        <v>44913</v>
      </c>
      <c r="G15" s="401">
        <v>6245.61</v>
      </c>
      <c r="H15" s="594">
        <v>340.48</v>
      </c>
      <c r="I15" s="594">
        <f t="shared" ref="I15:I23" si="1">I14</f>
        <v>94676</v>
      </c>
      <c r="J15" s="280">
        <f t="shared" si="0"/>
        <v>400</v>
      </c>
    </row>
    <row r="16" spans="1:10" s="526" customFormat="1" ht="12.75" customHeight="1">
      <c r="A16" s="633" t="s">
        <v>603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1">
        <v>44914</v>
      </c>
      <c r="G16" s="417">
        <v>6238.99</v>
      </c>
      <c r="H16" s="1041">
        <v>456.97</v>
      </c>
      <c r="I16" s="1041">
        <f t="shared" si="1"/>
        <v>94676</v>
      </c>
      <c r="J16" s="322">
        <f t="shared" si="0"/>
        <v>400</v>
      </c>
    </row>
    <row r="17" spans="1:10" s="526" customFormat="1" ht="12.75" customHeight="1">
      <c r="A17" s="591" t="s">
        <v>604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80">
        <v>44915</v>
      </c>
      <c r="G17" s="401">
        <v>6226.5</v>
      </c>
      <c r="H17" s="594">
        <v>322.41000000000003</v>
      </c>
      <c r="I17" s="594">
        <f t="shared" si="1"/>
        <v>94676</v>
      </c>
      <c r="J17" s="280">
        <f t="shared" si="0"/>
        <v>400</v>
      </c>
    </row>
    <row r="18" spans="1:10" s="526" customFormat="1" ht="12.75" customHeight="1">
      <c r="A18" s="633" t="s">
        <v>598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1">
        <v>44916</v>
      </c>
      <c r="G18" s="417">
        <v>6198.82</v>
      </c>
      <c r="H18" s="1041">
        <v>333.59</v>
      </c>
      <c r="I18" s="1041">
        <f t="shared" si="1"/>
        <v>94676</v>
      </c>
      <c r="J18" s="322">
        <f t="shared" si="0"/>
        <v>400</v>
      </c>
    </row>
    <row r="19" spans="1:10" s="526" customFormat="1" ht="12.75" customHeight="1">
      <c r="A19" s="591" t="s">
        <v>605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80">
        <v>44917</v>
      </c>
      <c r="G19" s="281">
        <v>6202.21</v>
      </c>
      <c r="H19" s="281">
        <v>227.75</v>
      </c>
      <c r="I19" s="594">
        <f t="shared" si="1"/>
        <v>94676</v>
      </c>
      <c r="J19" s="280">
        <f t="shared" si="0"/>
        <v>400</v>
      </c>
    </row>
    <row r="20" spans="1:10" s="526" customFormat="1" ht="12.75" customHeight="1">
      <c r="A20" s="633" t="s">
        <v>606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1">
        <v>44921</v>
      </c>
      <c r="G20" s="323">
        <v>6189.7</v>
      </c>
      <c r="H20" s="323">
        <v>198.8</v>
      </c>
      <c r="I20" s="1041">
        <f t="shared" si="1"/>
        <v>94676</v>
      </c>
      <c r="J20" s="322">
        <f t="shared" si="0"/>
        <v>400</v>
      </c>
    </row>
    <row r="21" spans="1:10" s="526" customFormat="1" ht="12.75" customHeight="1">
      <c r="A21" s="591" t="s">
        <v>599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880">
        <v>44922</v>
      </c>
      <c r="G21" s="401">
        <v>6180.27</v>
      </c>
      <c r="H21" s="594">
        <v>269.58999999999997</v>
      </c>
      <c r="I21" s="594">
        <f t="shared" si="1"/>
        <v>94676</v>
      </c>
      <c r="J21" s="280">
        <f t="shared" si="0"/>
        <v>400</v>
      </c>
    </row>
    <row r="22" spans="1:10" s="526" customFormat="1" ht="12.75" customHeight="1">
      <c r="A22" s="633" t="s">
        <v>607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911">
        <v>44923</v>
      </c>
      <c r="G22" s="1595">
        <v>6195.82</v>
      </c>
      <c r="H22" s="1041">
        <v>258.22000000000003</v>
      </c>
      <c r="I22" s="1041">
        <f t="shared" si="1"/>
        <v>94676</v>
      </c>
      <c r="J22" s="322">
        <f t="shared" si="0"/>
        <v>400</v>
      </c>
    </row>
    <row r="23" spans="1:10" s="526" customFormat="1" ht="12.75" customHeight="1" thickBot="1">
      <c r="A23" s="591" t="s">
        <v>608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  <c r="F23" s="1638">
        <v>44924</v>
      </c>
      <c r="G23" s="1639">
        <v>6206.81</v>
      </c>
      <c r="H23" s="1640">
        <v>345.72</v>
      </c>
      <c r="I23" s="1640">
        <f t="shared" si="1"/>
        <v>94676</v>
      </c>
      <c r="J23" s="1394">
        <f t="shared" si="0"/>
        <v>400</v>
      </c>
    </row>
    <row r="24" spans="1:10" s="526" customFormat="1" ht="12.75" customHeight="1">
      <c r="A24" s="633" t="s">
        <v>600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</row>
    <row r="25" spans="1:10" s="526" customFormat="1" ht="12.75" customHeight="1">
      <c r="A25" s="591" t="s">
        <v>609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</row>
    <row r="26" spans="1:10" s="526" customFormat="1" ht="12.75" customHeight="1">
      <c r="A26" s="633" t="s">
        <v>610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  <c r="F26" s="880"/>
      <c r="G26" s="364"/>
      <c r="H26" s="229"/>
      <c r="I26" s="30"/>
      <c r="J26" s="29"/>
    </row>
    <row r="27" spans="1:10" s="526" customFormat="1" ht="12.75" customHeight="1">
      <c r="A27" s="591" t="s">
        <v>601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80"/>
      <c r="G27" s="29"/>
      <c r="H27" s="229"/>
      <c r="I27" s="30"/>
      <c r="J27" s="29"/>
    </row>
    <row r="28" spans="1:10" s="526" customFormat="1" ht="12.75" customHeight="1">
      <c r="A28" s="670" t="s">
        <v>2160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2.75" customHeight="1">
      <c r="A29" s="591" t="s">
        <v>603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2.75" customHeight="1">
      <c r="A30" s="633" t="s">
        <v>604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2.75" customHeight="1">
      <c r="A31" s="591" t="s">
        <v>598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2.75" customHeight="1">
      <c r="A32" s="633" t="s">
        <v>605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2.75" customHeight="1">
      <c r="A33" s="591" t="s">
        <v>606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2.75" customHeight="1">
      <c r="A34" s="633" t="s">
        <v>599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2.75" customHeight="1">
      <c r="A35" s="591" t="s">
        <v>607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2.75" customHeight="1">
      <c r="A36" s="633" t="s">
        <v>608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2.75" customHeight="1">
      <c r="A37" s="591" t="s">
        <v>600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2.75" customHeight="1">
      <c r="A38" s="633" t="s">
        <v>609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2.75" customHeight="1">
      <c r="A39" s="591" t="s">
        <v>610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2.75" customHeight="1">
      <c r="A40" s="633" t="s">
        <v>601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2.75" customHeight="1">
      <c r="A41" s="618" t="s">
        <v>2475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2.75" customHeight="1">
      <c r="A42" s="633" t="s">
        <v>603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2.75" customHeight="1">
      <c r="A43" s="591" t="s">
        <v>604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2.75" customHeight="1">
      <c r="A44" s="633" t="s">
        <v>598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2.75" customHeight="1">
      <c r="A45" s="591" t="s">
        <v>605</v>
      </c>
      <c r="B45" s="281">
        <v>6307.34</v>
      </c>
      <c r="C45" s="281">
        <v>21091.73</v>
      </c>
      <c r="D45" s="281">
        <f>89467+4050</f>
        <v>93517</v>
      </c>
      <c r="E45" s="280">
        <v>398</v>
      </c>
      <c r="F45" s="557"/>
      <c r="G45" s="29"/>
      <c r="H45" s="229"/>
      <c r="I45" s="30"/>
      <c r="J45" s="29"/>
    </row>
    <row r="46" spans="1:10" s="526" customFormat="1" ht="12.75" customHeight="1">
      <c r="A46" s="633" t="s">
        <v>606</v>
      </c>
      <c r="B46" s="323">
        <v>6235.95</v>
      </c>
      <c r="C46" s="323">
        <v>16327.03</v>
      </c>
      <c r="D46" s="323">
        <v>94458.64</v>
      </c>
      <c r="E46" s="322">
        <v>399</v>
      </c>
      <c r="F46" s="557"/>
      <c r="G46" s="29"/>
      <c r="H46" s="229"/>
      <c r="I46" s="30"/>
      <c r="J46" s="29"/>
    </row>
    <row r="47" spans="1:10" s="526" customFormat="1" ht="12.75" customHeight="1" thickBot="1">
      <c r="A47" s="1741" t="s">
        <v>599</v>
      </c>
      <c r="B47" s="786">
        <v>6206.81</v>
      </c>
      <c r="C47" s="786">
        <v>7231.4</v>
      </c>
      <c r="D47" s="786">
        <v>94676</v>
      </c>
      <c r="E47" s="1394">
        <v>400</v>
      </c>
      <c r="F47" s="557"/>
      <c r="G47" s="29"/>
      <c r="H47" s="229"/>
      <c r="I47" s="30"/>
      <c r="J47" s="29"/>
    </row>
    <row r="48" spans="1:10" s="526" customFormat="1" ht="11.1" customHeight="1">
      <c r="A48" s="263" t="s">
        <v>2173</v>
      </c>
      <c r="B48" s="1012"/>
      <c r="C48" s="1012"/>
      <c r="D48" s="1012"/>
      <c r="E48" s="1012"/>
      <c r="F48" s="557"/>
      <c r="G48" s="29"/>
      <c r="H48" s="229"/>
      <c r="I48" s="30"/>
      <c r="J48" s="29"/>
    </row>
    <row r="49" spans="1:10" s="526" customFormat="1" ht="11.1" customHeight="1">
      <c r="A49" s="107" t="s">
        <v>2172</v>
      </c>
      <c r="B49" s="28"/>
      <c r="C49" s="30"/>
      <c r="D49" s="239" t="s">
        <v>1758</v>
      </c>
      <c r="E49" s="188"/>
      <c r="F49" s="557"/>
      <c r="G49" s="29"/>
      <c r="H49" s="229"/>
      <c r="I49" s="30"/>
      <c r="J49" s="29"/>
    </row>
    <row r="50" spans="1:10" s="526" customFormat="1" ht="11.1" customHeight="1">
      <c r="F50" s="557"/>
      <c r="G50" s="29"/>
      <c r="H50" s="229"/>
      <c r="I50" s="30"/>
      <c r="J50" s="29"/>
    </row>
    <row r="51" spans="1:10" s="526" customFormat="1" ht="11.1" customHeight="1">
      <c r="F51" s="557"/>
      <c r="G51" s="29"/>
      <c r="H51" s="229"/>
      <c r="I51" s="30"/>
      <c r="J51" s="29"/>
    </row>
    <row r="52" spans="1:10" s="526" customFormat="1" ht="11.1" customHeight="1">
      <c r="F52" s="557"/>
      <c r="G52" s="29"/>
      <c r="H52" s="229"/>
      <c r="I52" s="30"/>
      <c r="J52" s="29"/>
    </row>
    <row r="53" spans="1:10" s="526" customFormat="1" ht="11.1" customHeight="1">
      <c r="F53" s="557"/>
      <c r="G53" s="29"/>
      <c r="H53" s="229"/>
      <c r="I53" s="30"/>
      <c r="J53" s="29"/>
    </row>
    <row r="54" spans="1:10" s="526" customFormat="1" ht="11.1" customHeight="1">
      <c r="F54" s="557"/>
      <c r="G54" s="29"/>
      <c r="H54" s="229"/>
      <c r="I54" s="30"/>
      <c r="J54" s="29"/>
    </row>
    <row r="55" spans="1:10" s="526" customFormat="1" ht="11.1" customHeight="1">
      <c r="F55" s="557"/>
      <c r="G55" s="29"/>
      <c r="H55" s="229"/>
      <c r="I55" s="30"/>
      <c r="J55" s="29"/>
    </row>
    <row r="56" spans="1:10" s="526" customFormat="1" ht="11.1" customHeight="1">
      <c r="F56" s="557"/>
      <c r="G56" s="29"/>
      <c r="H56" s="229"/>
      <c r="I56" s="30"/>
      <c r="J56" s="29"/>
    </row>
    <row r="57" spans="1:10" s="526" customFormat="1" ht="11.1" customHeight="1">
      <c r="F57" s="557"/>
      <c r="G57" s="29"/>
      <c r="H57" s="229"/>
      <c r="I57" s="30"/>
      <c r="J57" s="29"/>
    </row>
    <row r="58" spans="1:10" s="526" customFormat="1" ht="11.1" customHeight="1">
      <c r="F58" s="557"/>
      <c r="G58" s="29"/>
      <c r="H58" s="229"/>
      <c r="I58" s="30"/>
      <c r="J58" s="29"/>
    </row>
    <row r="59" spans="1:10" s="526" customFormat="1" ht="11.1" customHeight="1">
      <c r="F59" s="557"/>
      <c r="G59" s="29"/>
      <c r="H59" s="229"/>
      <c r="I59" s="30"/>
      <c r="J59" s="29"/>
    </row>
    <row r="60" spans="1:10" s="526" customFormat="1" ht="11.1" customHeight="1">
      <c r="F60" s="557"/>
      <c r="G60" s="29"/>
      <c r="H60" s="229"/>
      <c r="I60" s="30"/>
      <c r="J60" s="29"/>
    </row>
    <row r="61" spans="1:10" s="526" customFormat="1" ht="11.1" customHeight="1">
      <c r="F61" s="557"/>
      <c r="G61" s="29"/>
      <c r="H61" s="229"/>
      <c r="I61" s="30"/>
      <c r="J61" s="29"/>
    </row>
    <row r="62" spans="1:10" s="526" customFormat="1" ht="11.1" customHeight="1">
      <c r="C62" s="280"/>
      <c r="F62" s="557"/>
      <c r="G62" s="29"/>
      <c r="H62" s="229"/>
      <c r="I62" s="30"/>
      <c r="J62" s="29"/>
    </row>
    <row r="63" spans="1:10" s="526" customFormat="1" ht="11.1" customHeight="1">
      <c r="E63" s="1043"/>
      <c r="F63" s="557"/>
      <c r="G63" s="29"/>
      <c r="H63" s="229"/>
      <c r="I63" s="30"/>
      <c r="J63" s="29"/>
    </row>
    <row r="64" spans="1:10" s="526" customFormat="1" ht="11.1" customHeight="1">
      <c r="D64" s="1044"/>
      <c r="E64" s="1045"/>
      <c r="F64" s="557"/>
      <c r="G64" s="29"/>
      <c r="H64" s="229"/>
      <c r="I64" s="30"/>
      <c r="J64" s="29"/>
    </row>
    <row r="65" spans="6:10" s="526" customFormat="1" ht="11.1" customHeight="1">
      <c r="F65" s="557"/>
      <c r="G65" s="29"/>
      <c r="H65" s="229"/>
      <c r="I65" s="30"/>
      <c r="J65" s="29"/>
    </row>
    <row r="66" spans="6:10" s="526" customFormat="1" ht="11.1" customHeight="1">
      <c r="F66" s="557"/>
      <c r="G66" s="29"/>
      <c r="H66" s="229"/>
      <c r="I66" s="30"/>
      <c r="J66" s="29"/>
    </row>
    <row r="67" spans="6:10" s="526" customFormat="1" ht="11.1" customHeight="1">
      <c r="F67" s="557"/>
      <c r="G67" s="29"/>
      <c r="H67" s="229"/>
      <c r="I67" s="30"/>
      <c r="J67" s="29"/>
    </row>
    <row r="68" spans="6:10" s="526" customFormat="1" ht="11.1" customHeight="1">
      <c r="F68" s="557"/>
      <c r="G68" s="29"/>
      <c r="H68" s="229"/>
      <c r="I68" s="30"/>
      <c r="J68" s="29"/>
    </row>
    <row r="69" spans="6:10" s="526" customFormat="1" ht="11.1" customHeight="1">
      <c r="F69" s="557"/>
      <c r="G69" s="29"/>
      <c r="H69" s="229"/>
      <c r="I69" s="30"/>
      <c r="J69" s="29"/>
    </row>
    <row r="70" spans="6:10" s="526" customFormat="1" ht="11.1" customHeight="1">
      <c r="F70" s="557"/>
      <c r="G70" s="29"/>
      <c r="H70" s="229"/>
      <c r="I70" s="30"/>
      <c r="J70" s="29"/>
    </row>
    <row r="71" spans="6:10" s="526" customFormat="1" ht="11.1" customHeight="1">
      <c r="F71" s="557"/>
      <c r="G71" s="29"/>
      <c r="H71" s="229"/>
      <c r="I71" s="30"/>
      <c r="J71" s="29"/>
    </row>
    <row r="72" spans="6:10" s="526" customFormat="1" ht="11.25" customHeight="1">
      <c r="F72" s="557"/>
      <c r="G72" s="29"/>
      <c r="H72" s="229"/>
      <c r="I72" s="30"/>
      <c r="J72" s="29"/>
    </row>
    <row r="73" spans="6:10" s="76" customFormat="1" ht="9.9499999999999993" customHeight="1">
      <c r="F73" s="557"/>
      <c r="G73" s="29"/>
      <c r="H73" s="229"/>
      <c r="I73" s="30"/>
      <c r="J73" s="29"/>
    </row>
    <row r="74" spans="6:10" s="76" customFormat="1" ht="10.5" customHeight="1">
      <c r="F74" s="557"/>
      <c r="G74" s="29"/>
      <c r="H74" s="229"/>
      <c r="I74" s="30"/>
      <c r="J74" s="29"/>
    </row>
    <row r="75" spans="6:10" s="76" customFormat="1" ht="15.75" customHeight="1">
      <c r="F75" s="557"/>
      <c r="G75" s="364"/>
      <c r="H75" s="364"/>
      <c r="I75" s="30"/>
      <c r="J75" s="29"/>
    </row>
    <row r="76" spans="6:10" s="76" customFormat="1" ht="13.5" customHeight="1">
      <c r="F76" s="557"/>
      <c r="G76" s="364"/>
      <c r="H76" s="364"/>
      <c r="I76" s="30"/>
      <c r="J76" s="29"/>
    </row>
    <row r="77" spans="6:10" s="76" customFormat="1" ht="9" customHeight="1">
      <c r="F77" s="557"/>
      <c r="G77" s="364"/>
      <c r="H77" s="364"/>
      <c r="I77" s="30"/>
      <c r="J77" s="29"/>
    </row>
    <row r="78" spans="6:10" s="76" customFormat="1" ht="8.85" customHeight="1">
      <c r="F78" s="557"/>
      <c r="G78" s="364"/>
      <c r="H78" s="364"/>
      <c r="I78" s="30"/>
      <c r="J78" s="29"/>
    </row>
    <row r="79" spans="6:10" s="76" customFormat="1" ht="8.85" customHeight="1">
      <c r="F79" s="557"/>
      <c r="G79" s="364"/>
      <c r="H79" s="364"/>
      <c r="I79" s="30"/>
      <c r="J79" s="29"/>
    </row>
    <row r="80" spans="6:10" s="76" customFormat="1" ht="8.85" customHeight="1">
      <c r="F80" s="557"/>
      <c r="G80" s="364"/>
      <c r="H80" s="364"/>
      <c r="I80" s="30"/>
      <c r="J80" s="29"/>
    </row>
    <row r="81" spans="1:10" s="76" customFormat="1" ht="8.85" customHeight="1">
      <c r="F81" s="557"/>
      <c r="G81" s="364"/>
      <c r="H81" s="364"/>
      <c r="I81" s="30"/>
      <c r="J81" s="29"/>
    </row>
    <row r="82" spans="1:10" s="76" customFormat="1" ht="8.85" customHeight="1">
      <c r="F82" s="557"/>
      <c r="G82" s="364"/>
      <c r="H82" s="364"/>
      <c r="I82" s="30"/>
      <c r="J82" s="29"/>
    </row>
    <row r="83" spans="1:10" s="76" customFormat="1" ht="8.85" customHeight="1">
      <c r="F83" s="557"/>
      <c r="G83" s="364"/>
      <c r="H83" s="364"/>
      <c r="I83" s="30"/>
      <c r="J83" s="29"/>
    </row>
    <row r="84" spans="1:10" s="76" customFormat="1" ht="9.9499999999999993" customHeight="1">
      <c r="F84" s="478"/>
      <c r="G84" s="526"/>
      <c r="H84" s="526"/>
      <c r="I84" s="526"/>
      <c r="J84" s="526"/>
    </row>
    <row r="85" spans="1:10" s="76" customFormat="1" ht="9.9499999999999993" customHeight="1">
      <c r="F85" s="478"/>
      <c r="G85" s="526"/>
      <c r="H85" s="526"/>
      <c r="I85" s="526"/>
      <c r="J85" s="526"/>
    </row>
    <row r="86" spans="1:10" s="76" customFormat="1" ht="9.9499999999999993" customHeight="1">
      <c r="F86" s="478"/>
      <c r="G86" s="526"/>
      <c r="H86" s="526"/>
      <c r="I86" s="526"/>
      <c r="J86" s="526"/>
    </row>
    <row r="87" spans="1:10" s="76" customFormat="1" ht="11.1" customHeight="1">
      <c r="F87" s="478"/>
      <c r="G87" s="526"/>
      <c r="H87" s="526"/>
      <c r="I87" s="526"/>
      <c r="J87" s="526"/>
    </row>
    <row r="88" spans="1:10" s="76" customFormat="1" ht="11.1" customHeight="1">
      <c r="F88" s="478"/>
      <c r="G88" s="526"/>
      <c r="H88" s="526"/>
      <c r="I88" s="526"/>
      <c r="J88" s="526"/>
    </row>
    <row r="89" spans="1:10" s="76" customFormat="1" ht="11.1" customHeight="1">
      <c r="F89" s="478"/>
      <c r="G89" s="526"/>
      <c r="H89" s="526"/>
      <c r="I89" s="526"/>
      <c r="J89" s="526"/>
    </row>
    <row r="90" spans="1:10" s="76" customFormat="1" ht="11.1" customHeight="1">
      <c r="A90" s="526"/>
      <c r="B90" s="526"/>
      <c r="C90" s="526"/>
      <c r="D90" s="526"/>
      <c r="E90" s="526"/>
      <c r="F90" s="478"/>
      <c r="G90" s="526"/>
      <c r="H90" s="526"/>
      <c r="I90" s="526"/>
      <c r="J90" s="526"/>
    </row>
    <row r="91" spans="1:10" s="526" customFormat="1" ht="11.1" customHeight="1">
      <c r="A91" s="2"/>
      <c r="B91" s="2"/>
      <c r="C91" s="2"/>
      <c r="D91" s="2"/>
      <c r="E91" s="2"/>
      <c r="F91" s="478"/>
    </row>
    <row r="92" spans="1:10" ht="11.1" customHeight="1">
      <c r="B92" s="2"/>
      <c r="C92" s="2"/>
      <c r="D92" s="2"/>
      <c r="E92" s="2"/>
      <c r="F92" s="478"/>
      <c r="G92" s="526"/>
      <c r="H92" s="526"/>
      <c r="I92" s="526"/>
      <c r="J92" s="526"/>
    </row>
    <row r="93" spans="1:10" ht="11.1" customHeight="1">
      <c r="A93" s="101"/>
      <c r="B93" s="102"/>
      <c r="C93" s="102"/>
      <c r="D93" s="106"/>
      <c r="E93" s="1056"/>
      <c r="F93" s="478"/>
      <c r="G93" s="526"/>
      <c r="H93" s="526"/>
      <c r="I93" s="526"/>
      <c r="J93" s="526"/>
    </row>
    <row r="94" spans="1:10">
      <c r="A94" s="104"/>
      <c r="B94" s="105"/>
      <c r="C94" s="105"/>
      <c r="D94" s="106"/>
      <c r="E94" s="88"/>
      <c r="F94" s="478"/>
      <c r="G94" s="526"/>
      <c r="H94" s="526"/>
      <c r="I94" s="526"/>
      <c r="J94" s="526"/>
    </row>
    <row r="95" spans="1:10">
      <c r="A95" s="104"/>
      <c r="B95" s="105"/>
      <c r="C95" s="105"/>
      <c r="D95" s="106"/>
      <c r="E95" s="88"/>
      <c r="F95" s="478"/>
      <c r="G95" s="526"/>
      <c r="H95" s="526"/>
      <c r="I95" s="526"/>
      <c r="J95" s="526"/>
    </row>
    <row r="96" spans="1:10">
      <c r="A96" s="104"/>
      <c r="B96" s="105"/>
      <c r="C96" s="105"/>
      <c r="D96" s="106"/>
      <c r="E96" s="88"/>
      <c r="F96" s="478"/>
      <c r="G96" s="526"/>
      <c r="H96" s="526"/>
      <c r="I96" s="526"/>
      <c r="J96" s="526"/>
    </row>
    <row r="97" spans="1:10">
      <c r="A97" s="104"/>
      <c r="B97" s="105"/>
      <c r="C97" s="105"/>
      <c r="D97" s="106"/>
      <c r="E97" s="8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A103" s="104"/>
      <c r="B103" s="105"/>
      <c r="C103" s="105"/>
      <c r="D103" s="106"/>
      <c r="E103" s="88"/>
      <c r="G103" s="526"/>
      <c r="H103" s="526"/>
      <c r="I103" s="526"/>
      <c r="J103" s="526"/>
    </row>
    <row r="104" spans="1:10">
      <c r="A104" s="104"/>
      <c r="B104" s="105"/>
      <c r="C104" s="105"/>
      <c r="D104" s="106"/>
      <c r="E104" s="88"/>
      <c r="G104" s="526"/>
      <c r="H104" s="526"/>
      <c r="I104" s="526"/>
      <c r="J104" s="526"/>
    </row>
    <row r="105" spans="1:10">
      <c r="G105" s="526"/>
      <c r="H105" s="526"/>
      <c r="I105" s="526"/>
      <c r="J105" s="526"/>
    </row>
    <row r="106" spans="1:10">
      <c r="G106" s="526"/>
      <c r="H106" s="526"/>
      <c r="I106" s="526"/>
      <c r="J106" s="526"/>
    </row>
    <row r="107" spans="1:10">
      <c r="G107" s="526"/>
      <c r="H107" s="526"/>
      <c r="I107" s="526"/>
      <c r="J107" s="526"/>
    </row>
    <row r="108" spans="1:10">
      <c r="G108" s="526"/>
      <c r="H108" s="526"/>
      <c r="I108" s="526"/>
      <c r="J108" s="526"/>
    </row>
    <row r="109" spans="1:10">
      <c r="A109" s="104"/>
      <c r="B109" s="102"/>
      <c r="C109" s="105"/>
      <c r="D109" s="106"/>
      <c r="E109" s="88"/>
      <c r="G109" s="526"/>
      <c r="H109" s="526"/>
      <c r="I109" s="526"/>
      <c r="J109" s="526"/>
    </row>
    <row r="110" spans="1:10">
      <c r="A110" s="104"/>
      <c r="B110" s="102"/>
      <c r="C110" s="105"/>
      <c r="D110" s="106"/>
      <c r="E110" s="88"/>
      <c r="G110" s="526"/>
      <c r="H110" s="526"/>
      <c r="I110" s="526"/>
      <c r="J110" s="526"/>
    </row>
    <row r="111" spans="1:10">
      <c r="A111" s="104"/>
      <c r="B111" s="105"/>
      <c r="C111" s="102"/>
      <c r="D111" s="106"/>
      <c r="E111" s="88"/>
      <c r="G111" s="526"/>
      <c r="H111" s="526"/>
      <c r="I111" s="526"/>
      <c r="J111" s="526"/>
    </row>
    <row r="112" spans="1:10">
      <c r="A112" s="104"/>
      <c r="B112" s="105"/>
      <c r="C112" s="105"/>
      <c r="D112" s="106"/>
      <c r="E112" s="88"/>
      <c r="G112" s="526"/>
      <c r="H112" s="526"/>
      <c r="I112" s="526"/>
      <c r="J112" s="526"/>
    </row>
    <row r="113" spans="1:5">
      <c r="A113" s="104"/>
      <c r="B113" s="102"/>
      <c r="C113" s="105"/>
      <c r="D113" s="106"/>
      <c r="E113" s="88"/>
    </row>
    <row r="114" spans="1:5">
      <c r="A114" s="104"/>
      <c r="B114" s="88"/>
      <c r="C114" s="105"/>
      <c r="D114" s="106"/>
      <c r="E114" s="88"/>
    </row>
    <row r="115" spans="1:5">
      <c r="A115" s="104"/>
      <c r="B115" s="1056"/>
      <c r="C115" s="102"/>
      <c r="D115" s="106"/>
      <c r="E115" s="88"/>
    </row>
    <row r="117" spans="1:5">
      <c r="A117" s="104"/>
      <c r="B117" s="106"/>
      <c r="C117" s="106"/>
      <c r="D117" s="106"/>
      <c r="E117" s="88"/>
    </row>
    <row r="118" spans="1:5">
      <c r="A118" s="104"/>
      <c r="B118" s="106"/>
      <c r="C118" s="106"/>
      <c r="D118" s="106"/>
      <c r="E118" s="88"/>
    </row>
    <row r="120" spans="1:5">
      <c r="A120" s="104"/>
      <c r="B120" s="2"/>
      <c r="C120" s="2"/>
      <c r="D120" s="106"/>
      <c r="E120" s="88"/>
    </row>
    <row r="121" spans="1:5">
      <c r="A121" s="104"/>
      <c r="B121" s="88"/>
      <c r="C121" s="88"/>
      <c r="D121" s="106"/>
      <c r="E121" s="88"/>
    </row>
    <row r="123" spans="1:5">
      <c r="A123" s="104"/>
      <c r="B123" s="88"/>
      <c r="C123" s="88"/>
      <c r="D123" s="106"/>
      <c r="E123" s="88"/>
    </row>
    <row r="124" spans="1:5">
      <c r="A124" s="104"/>
      <c r="B124" s="88"/>
      <c r="C124" s="88"/>
      <c r="D124" s="106"/>
      <c r="E124" s="88"/>
    </row>
    <row r="126" spans="1:5">
      <c r="A126" s="104"/>
      <c r="B126" s="88"/>
      <c r="C126" s="105"/>
      <c r="D126" s="106"/>
      <c r="E126" s="88"/>
    </row>
    <row r="127" spans="1:5">
      <c r="A127" s="104"/>
      <c r="B127" s="102"/>
      <c r="C127" s="1056"/>
      <c r="D127" s="106"/>
      <c r="E127" s="88"/>
    </row>
    <row r="128" spans="1:5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A133" s="8"/>
      <c r="B133" s="28"/>
      <c r="C133" s="28"/>
      <c r="D133" s="28"/>
      <c r="E133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45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5"/>
  <sheetViews>
    <sheetView zoomScale="150" zoomScaleNormal="150" workbookViewId="0">
      <pane xSplit="1" ySplit="4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57" sqref="J5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75" t="s">
        <v>677</v>
      </c>
      <c r="B1" s="2175"/>
      <c r="C1" s="2175"/>
      <c r="D1" s="2175"/>
      <c r="E1" s="2175"/>
      <c r="F1" s="2175"/>
      <c r="G1" s="2175"/>
      <c r="H1" s="2175"/>
      <c r="I1" s="2175"/>
      <c r="J1" s="2174" t="s">
        <v>1486</v>
      </c>
      <c r="K1" s="2174"/>
      <c r="L1" s="2174"/>
      <c r="M1" s="2174"/>
      <c r="N1" s="2174"/>
      <c r="O1" s="2174"/>
      <c r="P1" s="2174"/>
      <c r="Q1" s="2176" t="s">
        <v>1202</v>
      </c>
      <c r="R1" s="2176"/>
    </row>
    <row r="2" spans="1:18" s="21" customFormat="1" ht="10.5" customHeight="1">
      <c r="B2" s="1210"/>
      <c r="C2" s="1210"/>
      <c r="D2" s="1210"/>
      <c r="E2" s="1210"/>
      <c r="F2" s="1210"/>
      <c r="G2" s="1210"/>
      <c r="J2" s="1210"/>
      <c r="K2" s="1210"/>
      <c r="L2" s="1210"/>
      <c r="M2" s="1210"/>
      <c r="N2" s="1210"/>
      <c r="O2" s="1210"/>
      <c r="P2" s="1210"/>
      <c r="Q2" s="2180" t="s">
        <v>24</v>
      </c>
      <c r="R2" s="2180"/>
    </row>
    <row r="3" spans="1:18" s="110" customFormat="1" ht="12.75" customHeight="1">
      <c r="A3" s="2181" t="s">
        <v>518</v>
      </c>
      <c r="B3" s="2177" t="s">
        <v>1340</v>
      </c>
      <c r="C3" s="2178"/>
      <c r="D3" s="2178"/>
      <c r="E3" s="2178"/>
      <c r="F3" s="2178"/>
      <c r="G3" s="2178"/>
      <c r="H3" s="2178"/>
      <c r="I3" s="2178"/>
      <c r="J3" s="2178"/>
      <c r="K3" s="2178"/>
      <c r="L3" s="2178"/>
      <c r="M3" s="2178"/>
      <c r="N3" s="2178"/>
      <c r="O3" s="2178"/>
      <c r="P3" s="2178"/>
      <c r="Q3" s="2179"/>
      <c r="R3" s="2181" t="s">
        <v>1016</v>
      </c>
    </row>
    <row r="4" spans="1:18" s="77" customFormat="1" ht="39.75" customHeight="1">
      <c r="A4" s="2181"/>
      <c r="B4" s="1730" t="s">
        <v>519</v>
      </c>
      <c r="C4" s="1730" t="s">
        <v>235</v>
      </c>
      <c r="D4" s="1730" t="s">
        <v>236</v>
      </c>
      <c r="E4" s="1730" t="s">
        <v>86</v>
      </c>
      <c r="F4" s="1730" t="s">
        <v>1383</v>
      </c>
      <c r="G4" s="1730" t="s">
        <v>1382</v>
      </c>
      <c r="H4" s="1730" t="s">
        <v>87</v>
      </c>
      <c r="I4" s="1730" t="s">
        <v>548</v>
      </c>
      <c r="J4" s="1730" t="s">
        <v>1381</v>
      </c>
      <c r="K4" s="1730" t="s">
        <v>1384</v>
      </c>
      <c r="L4" s="1730" t="s">
        <v>1385</v>
      </c>
      <c r="M4" s="1730" t="s">
        <v>89</v>
      </c>
      <c r="N4" s="1730" t="s">
        <v>549</v>
      </c>
      <c r="O4" s="1730" t="s">
        <v>243</v>
      </c>
      <c r="P4" s="1730" t="s">
        <v>287</v>
      </c>
      <c r="Q4" s="1730" t="s">
        <v>90</v>
      </c>
      <c r="R4" s="2181"/>
    </row>
    <row r="5" spans="1:18" s="100" customFormat="1" ht="12.6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2.6" customHeight="1">
      <c r="A6" s="629" t="s">
        <v>198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198</v>
      </c>
    </row>
    <row r="7" spans="1:18" s="100" customFormat="1" ht="12.6" customHeight="1">
      <c r="A7" s="480" t="s">
        <v>789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789</v>
      </c>
    </row>
    <row r="8" spans="1:18" s="274" customFormat="1" ht="12.6" customHeight="1">
      <c r="A8" s="629" t="s">
        <v>905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905</v>
      </c>
    </row>
    <row r="9" spans="1:18" s="175" customFormat="1" ht="12.6" customHeight="1">
      <c r="A9" s="714" t="s">
        <v>1104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5" t="s">
        <v>1104</v>
      </c>
    </row>
    <row r="10" spans="1:18" s="175" customFormat="1" ht="12.6" customHeight="1">
      <c r="A10" s="595" t="s">
        <v>1163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1163</v>
      </c>
    </row>
    <row r="11" spans="1:18" s="502" customFormat="1" ht="12.6" customHeight="1">
      <c r="A11" s="604" t="s">
        <v>1295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1295</v>
      </c>
    </row>
    <row r="12" spans="1:18" s="175" customFormat="1" ht="12.6" customHeight="1">
      <c r="A12" s="595" t="s">
        <v>1328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1328</v>
      </c>
    </row>
    <row r="13" spans="1:18" s="175" customFormat="1" ht="12.6" customHeight="1">
      <c r="A13" s="604" t="s">
        <v>1467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1467</v>
      </c>
    </row>
    <row r="14" spans="1:18" s="175" customFormat="1" ht="12.6" customHeight="1">
      <c r="A14" s="595" t="s">
        <v>1596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1596</v>
      </c>
    </row>
    <row r="15" spans="1:18" s="175" customFormat="1" ht="12.6" customHeight="1">
      <c r="A15" s="670" t="s">
        <v>1691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1691</v>
      </c>
    </row>
    <row r="16" spans="1:18" s="177" customFormat="1" ht="12.6" customHeight="1">
      <c r="A16" s="618" t="s">
        <v>1760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1760</v>
      </c>
    </row>
    <row r="17" spans="1:18" s="177" customFormat="1" ht="12.6" customHeight="1">
      <c r="A17" s="633" t="s">
        <v>603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603</v>
      </c>
    </row>
    <row r="18" spans="1:18" s="177" customFormat="1" ht="12.6" customHeight="1">
      <c r="A18" s="591" t="s">
        <v>604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604</v>
      </c>
    </row>
    <row r="19" spans="1:18" s="177" customFormat="1" ht="12.6" customHeight="1">
      <c r="A19" s="633" t="s">
        <v>598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598</v>
      </c>
    </row>
    <row r="20" spans="1:18" s="177" customFormat="1" ht="12.6" customHeight="1">
      <c r="A20" s="591" t="s">
        <v>605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605</v>
      </c>
    </row>
    <row r="21" spans="1:18" s="177" customFormat="1" ht="12.6" customHeight="1">
      <c r="A21" s="633" t="s">
        <v>606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606</v>
      </c>
    </row>
    <row r="22" spans="1:18" s="177" customFormat="1" ht="12.6" customHeight="1">
      <c r="A22" s="591" t="s">
        <v>599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599</v>
      </c>
    </row>
    <row r="23" spans="1:18" s="177" customFormat="1" ht="12.6" customHeight="1">
      <c r="A23" s="633" t="s">
        <v>607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607</v>
      </c>
    </row>
    <row r="24" spans="1:18" s="177" customFormat="1" ht="12.6" customHeight="1">
      <c r="A24" s="591" t="s">
        <v>608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608</v>
      </c>
    </row>
    <row r="25" spans="1:18" s="177" customFormat="1" ht="12.6" customHeight="1">
      <c r="A25" s="633" t="s">
        <v>600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600</v>
      </c>
    </row>
    <row r="26" spans="1:18" s="177" customFormat="1" ht="12.6" customHeight="1">
      <c r="A26" s="591" t="s">
        <v>609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609</v>
      </c>
    </row>
    <row r="27" spans="1:18" s="177" customFormat="1" ht="12.6" customHeight="1">
      <c r="A27" s="633" t="s">
        <v>610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610</v>
      </c>
    </row>
    <row r="28" spans="1:18" s="177" customFormat="1" ht="12.6" customHeight="1">
      <c r="A28" s="591" t="s">
        <v>601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601</v>
      </c>
    </row>
    <row r="29" spans="1:18" s="177" customFormat="1" ht="12.6" customHeight="1">
      <c r="A29" s="670" t="s">
        <v>2160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2160</v>
      </c>
    </row>
    <row r="30" spans="1:18" s="177" customFormat="1" ht="12.6" customHeight="1">
      <c r="A30" s="591" t="s">
        <v>603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603</v>
      </c>
    </row>
    <row r="31" spans="1:18" s="177" customFormat="1" ht="12.6" customHeight="1">
      <c r="A31" s="633" t="s">
        <v>604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604</v>
      </c>
    </row>
    <row r="32" spans="1:18" s="177" customFormat="1" ht="12.6" customHeight="1">
      <c r="A32" s="591" t="s">
        <v>598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598</v>
      </c>
    </row>
    <row r="33" spans="1:18" s="177" customFormat="1" ht="12.6" customHeight="1">
      <c r="A33" s="633" t="s">
        <v>605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605</v>
      </c>
    </row>
    <row r="34" spans="1:18" s="177" customFormat="1" ht="12.6" customHeight="1">
      <c r="A34" s="591" t="s">
        <v>606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606</v>
      </c>
    </row>
    <row r="35" spans="1:18" s="177" customFormat="1" ht="12.6" customHeight="1">
      <c r="A35" s="633" t="s">
        <v>599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599</v>
      </c>
    </row>
    <row r="36" spans="1:18" s="177" customFormat="1" ht="12.6" customHeight="1">
      <c r="A36" s="591" t="s">
        <v>607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607</v>
      </c>
    </row>
    <row r="37" spans="1:18" s="177" customFormat="1" ht="12.6" customHeight="1">
      <c r="A37" s="633" t="s">
        <v>608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608</v>
      </c>
    </row>
    <row r="38" spans="1:18" s="177" customFormat="1" ht="12.6" customHeight="1">
      <c r="A38" s="591" t="s">
        <v>600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600</v>
      </c>
    </row>
    <row r="39" spans="1:18" s="177" customFormat="1" ht="12.6" customHeight="1">
      <c r="A39" s="633" t="s">
        <v>609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609</v>
      </c>
    </row>
    <row r="40" spans="1:18" s="177" customFormat="1" ht="12.6" customHeight="1">
      <c r="A40" s="591" t="s">
        <v>610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610</v>
      </c>
    </row>
    <row r="41" spans="1:18" s="177" customFormat="1" ht="12.6" customHeight="1">
      <c r="A41" s="633" t="s">
        <v>601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601</v>
      </c>
    </row>
    <row r="42" spans="1:18" s="177" customFormat="1" ht="12.6" customHeight="1">
      <c r="A42" s="618" t="s">
        <v>2475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2475</v>
      </c>
    </row>
    <row r="43" spans="1:18" s="177" customFormat="1" ht="12.6" customHeight="1">
      <c r="A43" s="633" t="s">
        <v>603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603</v>
      </c>
    </row>
    <row r="44" spans="1:18" s="177" customFormat="1" ht="12.6" customHeight="1">
      <c r="A44" s="591" t="s">
        <v>604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604</v>
      </c>
    </row>
    <row r="45" spans="1:18" s="177" customFormat="1" ht="12.6" customHeight="1">
      <c r="A45" s="633" t="s">
        <v>598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598</v>
      </c>
    </row>
    <row r="46" spans="1:18" s="177" customFormat="1" ht="12.6" customHeight="1">
      <c r="A46" s="591" t="s">
        <v>605</v>
      </c>
      <c r="B46" s="654">
        <v>66068.740000000005</v>
      </c>
      <c r="C46" s="654">
        <v>18769.64</v>
      </c>
      <c r="D46" s="654">
        <v>3862.13</v>
      </c>
      <c r="E46" s="654">
        <v>52994.66</v>
      </c>
      <c r="F46" s="654">
        <v>37547.46</v>
      </c>
      <c r="G46" s="654">
        <v>44821.36</v>
      </c>
      <c r="H46" s="654">
        <v>280.33</v>
      </c>
      <c r="I46" s="654">
        <v>17198.599999999999</v>
      </c>
      <c r="J46" s="654">
        <v>74236.570000000007</v>
      </c>
      <c r="K46" s="654">
        <v>5011.3</v>
      </c>
      <c r="L46" s="654">
        <v>3025.29</v>
      </c>
      <c r="M46" s="654">
        <v>11147.35</v>
      </c>
      <c r="N46" s="654">
        <v>15846.87</v>
      </c>
      <c r="O46" s="654">
        <v>58023.18</v>
      </c>
      <c r="P46" s="281">
        <f>3203.67+3210+3946.8+4536.15+23366.17+3712.51</f>
        <v>41975.3</v>
      </c>
      <c r="Q46" s="281">
        <f>SUM(B46:P46)</f>
        <v>450808.77999999991</v>
      </c>
      <c r="R46" s="592" t="s">
        <v>605</v>
      </c>
    </row>
    <row r="47" spans="1:18" s="177" customFormat="1" ht="12.6" customHeight="1">
      <c r="A47" s="633" t="s">
        <v>606</v>
      </c>
      <c r="B47" s="653">
        <v>66617.14</v>
      </c>
      <c r="C47" s="653">
        <v>18745.060000000001</v>
      </c>
      <c r="D47" s="653">
        <v>3861.05</v>
      </c>
      <c r="E47" s="653">
        <v>52191.35</v>
      </c>
      <c r="F47" s="653">
        <v>37734.639999999999</v>
      </c>
      <c r="G47" s="653">
        <v>44672.63</v>
      </c>
      <c r="H47" s="653">
        <v>303.95999999999998</v>
      </c>
      <c r="I47" s="653">
        <v>17150</v>
      </c>
      <c r="J47" s="653">
        <v>72294.53</v>
      </c>
      <c r="K47" s="653">
        <v>4160.53</v>
      </c>
      <c r="L47" s="653">
        <v>2772.13</v>
      </c>
      <c r="M47" s="653">
        <v>11285.57</v>
      </c>
      <c r="N47" s="653">
        <v>16281.88</v>
      </c>
      <c r="O47" s="653">
        <v>58023.18</v>
      </c>
      <c r="P47" s="323">
        <f>3246.17+3214.61+4070.61+4386.91+21922.89+3742</f>
        <v>40583.19</v>
      </c>
      <c r="Q47" s="323">
        <f>SUM(B47:P47)</f>
        <v>446676.84</v>
      </c>
      <c r="R47" s="605" t="s">
        <v>606</v>
      </c>
    </row>
    <row r="48" spans="1:18" s="177" customFormat="1" ht="12.6" customHeight="1" thickBot="1">
      <c r="A48" s="1741" t="s">
        <v>599</v>
      </c>
      <c r="B48" s="1742">
        <v>66662.7</v>
      </c>
      <c r="C48" s="1742">
        <v>18801.560000000001</v>
      </c>
      <c r="D48" s="1742">
        <v>3853.2</v>
      </c>
      <c r="E48" s="1742">
        <v>52529.19</v>
      </c>
      <c r="F48" s="1742">
        <v>37860.449999999997</v>
      </c>
      <c r="G48" s="1742">
        <v>44624.46</v>
      </c>
      <c r="H48" s="1742">
        <v>363.28</v>
      </c>
      <c r="I48" s="1742">
        <v>17068.16</v>
      </c>
      <c r="J48" s="1742">
        <v>72830.039999999994</v>
      </c>
      <c r="K48" s="1742">
        <v>4002.44</v>
      </c>
      <c r="L48" s="1742">
        <v>2712.27</v>
      </c>
      <c r="M48" s="1742">
        <v>11106.53</v>
      </c>
      <c r="N48" s="1742">
        <v>16242.39</v>
      </c>
      <c r="O48" s="1742">
        <v>58023.18</v>
      </c>
      <c r="P48" s="786">
        <f>3259.47+3267.12+3935.21+4329.09+21943.23+3759.01</f>
        <v>40493.129999999997</v>
      </c>
      <c r="Q48" s="786">
        <f>SUM(B48:P48)</f>
        <v>447172.98000000004</v>
      </c>
      <c r="R48" s="1743" t="s">
        <v>599</v>
      </c>
    </row>
    <row r="49" spans="1:18" s="177" customFormat="1" ht="11.1" customHeight="1">
      <c r="A49" s="56" t="s">
        <v>1507</v>
      </c>
      <c r="B49" s="711" t="s">
        <v>1463</v>
      </c>
      <c r="C49" s="710"/>
      <c r="D49" s="710"/>
      <c r="E49" s="710"/>
      <c r="F49" s="710"/>
      <c r="G49" s="710"/>
      <c r="H49" s="102"/>
      <c r="I49" s="68"/>
      <c r="J49" s="2182" t="s">
        <v>1464</v>
      </c>
      <c r="K49" s="2182"/>
      <c r="L49" s="2182"/>
      <c r="M49" s="2182"/>
      <c r="N49" s="2182"/>
      <c r="O49" s="2182"/>
      <c r="P49" s="2182"/>
      <c r="Q49" s="2182"/>
      <c r="R49" s="2182"/>
    </row>
    <row r="50" spans="1:18" s="177" customFormat="1" ht="11.1" customHeight="1">
      <c r="A50" s="46"/>
      <c r="B50" s="1886"/>
      <c r="C50" s="1886"/>
      <c r="D50" s="190"/>
      <c r="E50" s="190"/>
      <c r="F50" s="190"/>
      <c r="G50" s="190"/>
      <c r="H50" s="16"/>
      <c r="I50" s="16"/>
      <c r="J50" s="1170" t="s">
        <v>16</v>
      </c>
      <c r="K50" s="1171" t="s">
        <v>1451</v>
      </c>
      <c r="L50" s="1171"/>
      <c r="M50" s="1171"/>
      <c r="N50" s="8"/>
      <c r="O50" s="16"/>
      <c r="P50" s="16"/>
      <c r="Q50" s="16"/>
      <c r="R50" s="74"/>
    </row>
    <row r="51" spans="1:18" s="177" customFormat="1" ht="11.1" customHeight="1">
      <c r="A51" s="17"/>
      <c r="B51" s="8"/>
      <c r="C51" s="8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17"/>
    </row>
    <row r="52" spans="1:18" s="177" customFormat="1" ht="11.1" customHeight="1">
      <c r="A52" s="612"/>
      <c r="Q52" s="532"/>
      <c r="R52" s="568"/>
    </row>
    <row r="53" spans="1:18" s="177" customFormat="1" ht="11.1" customHeight="1">
      <c r="A53" s="607"/>
      <c r="Q53" s="872"/>
      <c r="R53" s="568"/>
    </row>
    <row r="54" spans="1:18" s="177" customFormat="1" ht="11.1" customHeight="1">
      <c r="A54" s="46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90"/>
      <c r="R54" s="17"/>
    </row>
    <row r="55" spans="1:18" s="177" customFormat="1" ht="11.1" customHeight="1">
      <c r="A55" s="46"/>
      <c r="B55" s="8"/>
      <c r="C55" s="8"/>
      <c r="D55" s="8"/>
      <c r="E55" s="90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7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7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7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7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7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ht="9.75" customHeight="1">
      <c r="R61" s="17"/>
    </row>
    <row r="62" spans="1:18" ht="9.75" customHeight="1">
      <c r="R62" s="17"/>
    </row>
    <row r="63" spans="1:18">
      <c r="R63" s="17"/>
    </row>
    <row r="64" spans="1:18" s="177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7" customForma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50:C50"/>
    <mergeCell ref="J1:P1"/>
    <mergeCell ref="A1:I1"/>
    <mergeCell ref="Q1:R1"/>
    <mergeCell ref="B3:Q3"/>
    <mergeCell ref="Q2:R2"/>
    <mergeCell ref="R3:R4"/>
    <mergeCell ref="A3:A4"/>
    <mergeCell ref="J49:R49"/>
  </mergeCells>
  <phoneticPr fontId="43" type="noConversion"/>
  <pageMargins left="0.62992125984252001" right="0.55118110236220497" top="0.511811023622047" bottom="0.31496062992126" header="0.25" footer="0"/>
  <pageSetup paperSize="145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J1" zoomScale="160" zoomScaleNormal="160" zoomScaleSheetLayoutView="120" workbookViewId="0">
      <pane ySplit="4" topLeftCell="A5" activePane="bottomLeft" state="frozen"/>
      <selection pane="bottomLeft" activeCell="BU14" sqref="BU14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89" t="s">
        <v>974</v>
      </c>
      <c r="B1" s="2189"/>
      <c r="C1" s="2189"/>
      <c r="D1" s="2189"/>
      <c r="E1" s="2189"/>
      <c r="F1" s="2189"/>
      <c r="G1" s="2189"/>
      <c r="H1" s="2189"/>
      <c r="I1" s="2189"/>
      <c r="J1" s="2190" t="s">
        <v>976</v>
      </c>
      <c r="K1" s="2190"/>
      <c r="L1" s="2190"/>
      <c r="M1" s="2190"/>
      <c r="N1" s="2190"/>
      <c r="O1" s="1022"/>
      <c r="P1" s="2191" t="s">
        <v>1777</v>
      </c>
      <c r="Q1" s="2191"/>
      <c r="R1" s="2191"/>
      <c r="X1" s="1022"/>
      <c r="Y1" s="2192" t="s">
        <v>975</v>
      </c>
      <c r="Z1" s="2192"/>
      <c r="AA1" s="2192"/>
      <c r="AB1" s="2190" t="s">
        <v>976</v>
      </c>
      <c r="AC1" s="2190"/>
      <c r="AD1" s="2190"/>
      <c r="AE1" s="2190"/>
      <c r="AF1" s="2190"/>
      <c r="AG1" s="1022"/>
      <c r="AH1" s="1022"/>
      <c r="AI1" s="2191" t="s">
        <v>1778</v>
      </c>
      <c r="AJ1" s="2191"/>
      <c r="AK1" s="272"/>
      <c r="AL1" s="1022"/>
      <c r="AM1" s="1022"/>
      <c r="AN1" s="1022"/>
      <c r="AO1" s="1022"/>
      <c r="AP1" s="2192" t="s">
        <v>975</v>
      </c>
      <c r="AQ1" s="2192"/>
      <c r="AR1" s="2192"/>
      <c r="AS1" s="2192"/>
      <c r="AT1" s="2190" t="s">
        <v>976</v>
      </c>
      <c r="AU1" s="2190"/>
      <c r="AV1" s="2190"/>
      <c r="AW1" s="2190"/>
      <c r="AX1" s="2190"/>
      <c r="AY1" s="1022"/>
      <c r="AZ1" s="1022"/>
      <c r="BA1" s="2192" t="s">
        <v>1778</v>
      </c>
      <c r="BB1" s="2193"/>
      <c r="BC1" s="1022"/>
      <c r="BD1" s="1022"/>
      <c r="BE1" s="1022"/>
      <c r="BF1" s="1022"/>
      <c r="BG1" s="1022"/>
      <c r="BH1" s="2192" t="s">
        <v>975</v>
      </c>
      <c r="BI1" s="2192"/>
      <c r="BJ1" s="2192"/>
      <c r="BK1" s="2192"/>
      <c r="BL1" s="2190" t="s">
        <v>976</v>
      </c>
      <c r="BM1" s="2190"/>
      <c r="BN1" s="2190"/>
      <c r="BO1" s="2190"/>
      <c r="BP1" s="2190"/>
      <c r="BQ1" s="1022"/>
      <c r="BR1" s="2192" t="s">
        <v>1203</v>
      </c>
      <c r="BS1" s="2192"/>
      <c r="BT1" s="2192"/>
    </row>
    <row r="2" spans="1:72" s="110" customFormat="1" ht="12.75" customHeight="1">
      <c r="A2" s="1198"/>
      <c r="B2" s="1667"/>
      <c r="C2" s="1198"/>
      <c r="D2" s="1198"/>
      <c r="E2" s="1198"/>
      <c r="F2" s="1198"/>
      <c r="G2" s="1198"/>
      <c r="H2" s="1198"/>
      <c r="I2" s="1198"/>
      <c r="J2" s="1199"/>
      <c r="K2" s="1199"/>
      <c r="L2" s="1199"/>
      <c r="M2" s="1199"/>
      <c r="N2" s="1199"/>
      <c r="O2" s="1200"/>
      <c r="P2" s="1201"/>
      <c r="Q2" s="1201"/>
      <c r="R2" s="1202" t="s">
        <v>1779</v>
      </c>
      <c r="S2" s="1203"/>
      <c r="T2" s="1203"/>
      <c r="U2" s="1203"/>
      <c r="V2" s="1203"/>
      <c r="W2" s="1203"/>
      <c r="X2" s="1200"/>
      <c r="Y2" s="1204"/>
      <c r="Z2" s="1204"/>
      <c r="AA2" s="1204"/>
      <c r="AB2" s="1199"/>
      <c r="AC2" s="1199"/>
      <c r="AD2" s="1199"/>
      <c r="AE2" s="1199"/>
      <c r="AF2" s="1199"/>
      <c r="AG2" s="1200"/>
      <c r="AH2" s="1200"/>
      <c r="AI2" s="1201"/>
      <c r="AJ2" s="1202" t="s">
        <v>1780</v>
      </c>
      <c r="AK2" s="1205"/>
      <c r="AL2" s="1200"/>
      <c r="AM2" s="1200"/>
      <c r="AN2" s="1200"/>
      <c r="AO2" s="1200"/>
      <c r="AP2" s="1204"/>
      <c r="AQ2" s="1204"/>
      <c r="AR2" s="1204"/>
      <c r="AS2" s="1204"/>
      <c r="AT2" s="1199"/>
      <c r="AU2" s="1199"/>
      <c r="AV2" s="1199"/>
      <c r="AW2" s="1199"/>
      <c r="AX2" s="1199"/>
      <c r="AY2" s="1200"/>
      <c r="AZ2" s="1200"/>
      <c r="BA2" s="1204"/>
      <c r="BB2" s="1206" t="s">
        <v>24</v>
      </c>
      <c r="BC2" s="1200"/>
      <c r="BD2" s="1200"/>
      <c r="BE2" s="1200"/>
      <c r="BF2" s="1200"/>
      <c r="BG2" s="1200"/>
      <c r="BH2" s="1204"/>
      <c r="BI2" s="1204"/>
      <c r="BJ2" s="1204"/>
      <c r="BK2" s="1204"/>
      <c r="BL2" s="1199"/>
      <c r="BM2" s="1199"/>
      <c r="BN2" s="1199"/>
      <c r="BO2" s="1199"/>
      <c r="BP2" s="1199"/>
      <c r="BQ2" s="1200"/>
      <c r="BR2" s="1204"/>
      <c r="BS2" s="1204"/>
      <c r="BT2" s="1206" t="s">
        <v>24</v>
      </c>
    </row>
    <row r="3" spans="1:72" s="236" customFormat="1" ht="17.25" customHeight="1">
      <c r="A3" s="2187" t="s">
        <v>1781</v>
      </c>
      <c r="B3" s="2187" t="s">
        <v>1782</v>
      </c>
      <c r="C3" s="2187" t="s">
        <v>1783</v>
      </c>
      <c r="D3" s="2183" t="s">
        <v>1784</v>
      </c>
      <c r="E3" s="2183" t="s">
        <v>1785</v>
      </c>
      <c r="F3" s="2183" t="s">
        <v>2119</v>
      </c>
      <c r="G3" s="2183" t="s">
        <v>1786</v>
      </c>
      <c r="H3" s="2183" t="s">
        <v>2073</v>
      </c>
      <c r="I3" s="2183" t="s">
        <v>1787</v>
      </c>
      <c r="J3" s="2187" t="s">
        <v>1781</v>
      </c>
      <c r="K3" s="2187" t="s">
        <v>1782</v>
      </c>
      <c r="L3" s="2187" t="s">
        <v>1783</v>
      </c>
      <c r="M3" s="2183" t="s">
        <v>1784</v>
      </c>
      <c r="N3" s="2183" t="s">
        <v>1785</v>
      </c>
      <c r="O3" s="2183" t="s">
        <v>2119</v>
      </c>
      <c r="P3" s="2183" t="s">
        <v>1788</v>
      </c>
      <c r="Q3" s="2183" t="s">
        <v>2073</v>
      </c>
      <c r="R3" s="2183" t="s">
        <v>1787</v>
      </c>
      <c r="S3" s="2187" t="s">
        <v>1781</v>
      </c>
      <c r="T3" s="2187" t="s">
        <v>1782</v>
      </c>
      <c r="U3" s="2187" t="s">
        <v>1783</v>
      </c>
      <c r="V3" s="2183" t="s">
        <v>1784</v>
      </c>
      <c r="W3" s="2183" t="s">
        <v>1785</v>
      </c>
      <c r="X3" s="2183" t="s">
        <v>2277</v>
      </c>
      <c r="Y3" s="2183" t="s">
        <v>1786</v>
      </c>
      <c r="Z3" s="2183" t="s">
        <v>2073</v>
      </c>
      <c r="AA3" s="2183" t="s">
        <v>1787</v>
      </c>
      <c r="AB3" s="2187" t="s">
        <v>1781</v>
      </c>
      <c r="AC3" s="2187" t="s">
        <v>1782</v>
      </c>
      <c r="AD3" s="2187" t="s">
        <v>1783</v>
      </c>
      <c r="AE3" s="2183" t="s">
        <v>1784</v>
      </c>
      <c r="AF3" s="2183" t="s">
        <v>1785</v>
      </c>
      <c r="AG3" s="2183" t="s">
        <v>2119</v>
      </c>
      <c r="AH3" s="2183" t="s">
        <v>1786</v>
      </c>
      <c r="AI3" s="2183" t="s">
        <v>2073</v>
      </c>
      <c r="AJ3" s="2183" t="s">
        <v>1787</v>
      </c>
      <c r="AK3" s="2187" t="s">
        <v>1781</v>
      </c>
      <c r="AL3" s="2187" t="s">
        <v>1782</v>
      </c>
      <c r="AM3" s="2187" t="s">
        <v>1783</v>
      </c>
      <c r="AN3" s="2183" t="s">
        <v>1784</v>
      </c>
      <c r="AO3" s="2183" t="s">
        <v>1785</v>
      </c>
      <c r="AP3" s="2183" t="s">
        <v>2119</v>
      </c>
      <c r="AQ3" s="2183" t="s">
        <v>1786</v>
      </c>
      <c r="AR3" s="2183" t="s">
        <v>2278</v>
      </c>
      <c r="AS3" s="2183" t="s">
        <v>1787</v>
      </c>
      <c r="AT3" s="2187" t="s">
        <v>1781</v>
      </c>
      <c r="AU3" s="2187" t="s">
        <v>1782</v>
      </c>
      <c r="AV3" s="2187" t="s">
        <v>1783</v>
      </c>
      <c r="AW3" s="2183" t="s">
        <v>1784</v>
      </c>
      <c r="AX3" s="2183" t="s">
        <v>1785</v>
      </c>
      <c r="AY3" s="2183" t="s">
        <v>2277</v>
      </c>
      <c r="AZ3" s="2183" t="s">
        <v>1786</v>
      </c>
      <c r="BA3" s="2183" t="s">
        <v>2278</v>
      </c>
      <c r="BB3" s="2183" t="s">
        <v>1787</v>
      </c>
      <c r="BC3" s="2187" t="s">
        <v>1781</v>
      </c>
      <c r="BD3" s="2187" t="s">
        <v>1782</v>
      </c>
      <c r="BE3" s="2187" t="s">
        <v>1783</v>
      </c>
      <c r="BF3" s="2183" t="s">
        <v>1784</v>
      </c>
      <c r="BG3" s="2183" t="s">
        <v>1785</v>
      </c>
      <c r="BH3" s="2184" t="s">
        <v>2279</v>
      </c>
      <c r="BI3" s="2183" t="s">
        <v>1786</v>
      </c>
      <c r="BJ3" s="2183" t="s">
        <v>2280</v>
      </c>
      <c r="BK3" s="2183" t="s">
        <v>1787</v>
      </c>
      <c r="BL3" s="2196" t="s">
        <v>1781</v>
      </c>
      <c r="BM3" s="2196" t="s">
        <v>2074</v>
      </c>
      <c r="BN3" s="2187" t="s">
        <v>1783</v>
      </c>
      <c r="BO3" s="2183" t="s">
        <v>1784</v>
      </c>
      <c r="BP3" s="2183" t="s">
        <v>1785</v>
      </c>
      <c r="BQ3" s="2183" t="s">
        <v>2119</v>
      </c>
      <c r="BR3" s="2183" t="s">
        <v>1786</v>
      </c>
      <c r="BS3" s="2183" t="s">
        <v>2073</v>
      </c>
      <c r="BT3" s="2183" t="s">
        <v>1787</v>
      </c>
    </row>
    <row r="4" spans="1:72" s="70" customFormat="1" ht="27.75" customHeight="1">
      <c r="A4" s="2188"/>
      <c r="B4" s="2188"/>
      <c r="C4" s="2188"/>
      <c r="D4" s="2184"/>
      <c r="E4" s="2184"/>
      <c r="F4" s="2184"/>
      <c r="G4" s="2185"/>
      <c r="H4" s="2185"/>
      <c r="I4" s="2185"/>
      <c r="J4" s="2188"/>
      <c r="K4" s="2188"/>
      <c r="L4" s="2188"/>
      <c r="M4" s="2184"/>
      <c r="N4" s="2184"/>
      <c r="O4" s="2184"/>
      <c r="P4" s="2185"/>
      <c r="Q4" s="2185"/>
      <c r="R4" s="2185"/>
      <c r="S4" s="2188"/>
      <c r="T4" s="2188"/>
      <c r="U4" s="2188"/>
      <c r="V4" s="2184"/>
      <c r="W4" s="2184"/>
      <c r="X4" s="2184"/>
      <c r="Y4" s="2185"/>
      <c r="Z4" s="2185"/>
      <c r="AA4" s="2185"/>
      <c r="AB4" s="2188"/>
      <c r="AC4" s="2188"/>
      <c r="AD4" s="2188"/>
      <c r="AE4" s="2184"/>
      <c r="AF4" s="2184"/>
      <c r="AG4" s="2184"/>
      <c r="AH4" s="2185"/>
      <c r="AI4" s="2185"/>
      <c r="AJ4" s="2185"/>
      <c r="AK4" s="2188"/>
      <c r="AL4" s="2188"/>
      <c r="AM4" s="2188"/>
      <c r="AN4" s="2184"/>
      <c r="AO4" s="2184"/>
      <c r="AP4" s="2184"/>
      <c r="AQ4" s="2185"/>
      <c r="AR4" s="2185"/>
      <c r="AS4" s="2185"/>
      <c r="AT4" s="2188"/>
      <c r="AU4" s="2188"/>
      <c r="AV4" s="2188"/>
      <c r="AW4" s="2184"/>
      <c r="AX4" s="2184"/>
      <c r="AY4" s="2184"/>
      <c r="AZ4" s="2185"/>
      <c r="BA4" s="2185"/>
      <c r="BB4" s="2185"/>
      <c r="BC4" s="2188"/>
      <c r="BD4" s="2188"/>
      <c r="BE4" s="2188"/>
      <c r="BF4" s="2184"/>
      <c r="BG4" s="2184"/>
      <c r="BH4" s="2184"/>
      <c r="BI4" s="2185"/>
      <c r="BJ4" s="2185"/>
      <c r="BK4" s="2185"/>
      <c r="BL4" s="2197"/>
      <c r="BM4" s="2197"/>
      <c r="BN4" s="2188"/>
      <c r="BO4" s="2184"/>
      <c r="BP4" s="2184"/>
      <c r="BQ4" s="2184"/>
      <c r="BR4" s="2185"/>
      <c r="BS4" s="2185"/>
      <c r="BT4" s="2185"/>
    </row>
    <row r="5" spans="1:72" s="278" customFormat="1" ht="12.95" customHeight="1">
      <c r="A5" s="2194" t="s">
        <v>1789</v>
      </c>
      <c r="B5" s="2195"/>
      <c r="C5" s="2195"/>
      <c r="D5" s="2195"/>
      <c r="E5" s="2195"/>
      <c r="F5" s="1040"/>
      <c r="G5" s="1040"/>
      <c r="H5" s="1040"/>
      <c r="I5" s="1040"/>
      <c r="J5" s="785">
        <v>41</v>
      </c>
      <c r="K5" s="886" t="s">
        <v>2004</v>
      </c>
      <c r="L5" s="886">
        <v>10</v>
      </c>
      <c r="M5" s="886" t="s">
        <v>1310</v>
      </c>
      <c r="N5" s="886" t="s">
        <v>1311</v>
      </c>
      <c r="O5" s="919">
        <v>7.39</v>
      </c>
      <c r="P5" s="886" t="s">
        <v>1030</v>
      </c>
      <c r="Q5" s="919">
        <v>7.29</v>
      </c>
      <c r="R5" s="919">
        <v>2600</v>
      </c>
      <c r="S5" s="785">
        <v>82</v>
      </c>
      <c r="T5" s="886" t="s">
        <v>1969</v>
      </c>
      <c r="U5" s="886">
        <v>15</v>
      </c>
      <c r="V5" s="886" t="s">
        <v>700</v>
      </c>
      <c r="W5" s="886" t="s">
        <v>701</v>
      </c>
      <c r="X5" s="919">
        <v>10.09</v>
      </c>
      <c r="Y5" s="886" t="s">
        <v>305</v>
      </c>
      <c r="Z5" s="919">
        <v>10.09</v>
      </c>
      <c r="AA5" s="919">
        <v>80</v>
      </c>
      <c r="AB5" s="785">
        <v>123</v>
      </c>
      <c r="AC5" s="919" t="s">
        <v>1970</v>
      </c>
      <c r="AD5" s="886">
        <v>15</v>
      </c>
      <c r="AE5" s="886" t="s">
        <v>1089</v>
      </c>
      <c r="AF5" s="886" t="s">
        <v>1090</v>
      </c>
      <c r="AG5" s="919">
        <v>12.379999999999999</v>
      </c>
      <c r="AH5" s="886" t="s">
        <v>305</v>
      </c>
      <c r="AI5" s="919">
        <v>12.379999999999999</v>
      </c>
      <c r="AJ5" s="919">
        <v>100</v>
      </c>
      <c r="AK5" s="785">
        <v>164</v>
      </c>
      <c r="AL5" s="886" t="s">
        <v>1957</v>
      </c>
      <c r="AM5" s="886">
        <v>20</v>
      </c>
      <c r="AN5" s="919" t="s">
        <v>35</v>
      </c>
      <c r="AO5" s="886" t="s">
        <v>47</v>
      </c>
      <c r="AP5" s="919">
        <v>13.13</v>
      </c>
      <c r="AQ5" s="886" t="s">
        <v>305</v>
      </c>
      <c r="AR5" s="919">
        <v>13.13</v>
      </c>
      <c r="AS5" s="919">
        <v>50</v>
      </c>
      <c r="AT5" s="785">
        <v>205</v>
      </c>
      <c r="AU5" s="886" t="s">
        <v>1958</v>
      </c>
      <c r="AV5" s="886">
        <v>20</v>
      </c>
      <c r="AW5" s="919" t="s">
        <v>1959</v>
      </c>
      <c r="AX5" s="886" t="s">
        <v>1357</v>
      </c>
      <c r="AY5" s="919">
        <v>11.95</v>
      </c>
      <c r="AZ5" s="886" t="s">
        <v>305</v>
      </c>
      <c r="BA5" s="919">
        <v>11.95</v>
      </c>
      <c r="BB5" s="919">
        <v>250</v>
      </c>
      <c r="BC5" s="542">
        <v>246</v>
      </c>
      <c r="BD5" s="1007" t="s">
        <v>1960</v>
      </c>
      <c r="BE5" s="1007">
        <v>20</v>
      </c>
      <c r="BF5" s="886" t="s">
        <v>1754</v>
      </c>
      <c r="BG5" s="886" t="s">
        <v>1756</v>
      </c>
      <c r="BH5" s="919">
        <v>8.94</v>
      </c>
      <c r="BI5" s="886" t="s">
        <v>2133</v>
      </c>
      <c r="BJ5" s="588">
        <v>6.64</v>
      </c>
      <c r="BK5" s="782">
        <v>4500</v>
      </c>
      <c r="BL5" s="2194" t="s">
        <v>2281</v>
      </c>
      <c r="BM5" s="2195"/>
      <c r="BN5" s="2195"/>
      <c r="BO5" s="2195"/>
      <c r="BP5" s="2195"/>
      <c r="BQ5" s="1040"/>
      <c r="BR5" s="1040"/>
      <c r="BS5" s="1040"/>
      <c r="BT5" s="1040"/>
    </row>
    <row r="6" spans="1:72" s="278" customFormat="1" ht="13.35" customHeight="1">
      <c r="A6" s="280">
        <v>1</v>
      </c>
      <c r="B6" s="939" t="s">
        <v>2101</v>
      </c>
      <c r="C6" s="859">
        <v>2</v>
      </c>
      <c r="D6" s="859" t="s">
        <v>2102</v>
      </c>
      <c r="E6" s="859" t="s">
        <v>2103</v>
      </c>
      <c r="F6" s="703">
        <v>3.14</v>
      </c>
      <c r="G6" s="859" t="s">
        <v>2111</v>
      </c>
      <c r="H6" s="703">
        <v>3.24</v>
      </c>
      <c r="I6" s="703">
        <v>4500</v>
      </c>
      <c r="J6" s="237">
        <v>42</v>
      </c>
      <c r="K6" s="859" t="s">
        <v>2012</v>
      </c>
      <c r="L6" s="859">
        <v>10</v>
      </c>
      <c r="M6" s="859" t="s">
        <v>1330</v>
      </c>
      <c r="N6" s="859" t="s">
        <v>1331</v>
      </c>
      <c r="O6" s="703">
        <v>7.59</v>
      </c>
      <c r="P6" s="859" t="s">
        <v>1353</v>
      </c>
      <c r="Q6" s="703">
        <v>6.89</v>
      </c>
      <c r="R6" s="703">
        <v>2700</v>
      </c>
      <c r="S6" s="237">
        <v>83</v>
      </c>
      <c r="T6" s="859" t="s">
        <v>1976</v>
      </c>
      <c r="U6" s="859">
        <v>15</v>
      </c>
      <c r="V6" s="859" t="s">
        <v>702</v>
      </c>
      <c r="W6" s="859" t="s">
        <v>703</v>
      </c>
      <c r="X6" s="703">
        <v>9.39</v>
      </c>
      <c r="Y6" s="859" t="s">
        <v>305</v>
      </c>
      <c r="Z6" s="703">
        <v>9.39</v>
      </c>
      <c r="AA6" s="703">
        <v>150</v>
      </c>
      <c r="AB6" s="237">
        <v>124</v>
      </c>
      <c r="AC6" s="703" t="s">
        <v>1977</v>
      </c>
      <c r="AD6" s="859">
        <v>15</v>
      </c>
      <c r="AE6" s="859" t="s">
        <v>1091</v>
      </c>
      <c r="AF6" s="859" t="s">
        <v>1092</v>
      </c>
      <c r="AG6" s="703">
        <v>12.379999999999999</v>
      </c>
      <c r="AH6" s="859" t="s">
        <v>305</v>
      </c>
      <c r="AI6" s="703">
        <v>12.379999999999999</v>
      </c>
      <c r="AJ6" s="703">
        <v>200</v>
      </c>
      <c r="AK6" s="237">
        <v>165</v>
      </c>
      <c r="AL6" s="859" t="s">
        <v>2197</v>
      </c>
      <c r="AM6" s="859">
        <v>20</v>
      </c>
      <c r="AN6" s="859" t="s">
        <v>2198</v>
      </c>
      <c r="AO6" s="859" t="s">
        <v>2199</v>
      </c>
      <c r="AP6" s="703">
        <v>13.09</v>
      </c>
      <c r="AQ6" s="859" t="s">
        <v>305</v>
      </c>
      <c r="AR6" s="703">
        <v>13.09</v>
      </c>
      <c r="AS6" s="703">
        <v>50</v>
      </c>
      <c r="AT6" s="237">
        <v>206</v>
      </c>
      <c r="AU6" s="859" t="s">
        <v>2203</v>
      </c>
      <c r="AV6" s="859">
        <v>20</v>
      </c>
      <c r="AW6" s="859" t="s">
        <v>2204</v>
      </c>
      <c r="AX6" s="859" t="s">
        <v>2205</v>
      </c>
      <c r="AY6" s="703">
        <v>12</v>
      </c>
      <c r="AZ6" s="859" t="s">
        <v>305</v>
      </c>
      <c r="BA6" s="703">
        <v>12</v>
      </c>
      <c r="BB6" s="703">
        <v>250</v>
      </c>
      <c r="BC6" s="249">
        <v>247</v>
      </c>
      <c r="BD6" s="1023" t="s">
        <v>2151</v>
      </c>
      <c r="BE6" s="1023">
        <v>20</v>
      </c>
      <c r="BF6" s="859" t="s">
        <v>2149</v>
      </c>
      <c r="BG6" s="859" t="s">
        <v>2152</v>
      </c>
      <c r="BH6" s="703">
        <v>6.07</v>
      </c>
      <c r="BI6" s="859" t="s">
        <v>2381</v>
      </c>
      <c r="BJ6" s="587">
        <v>7.64</v>
      </c>
      <c r="BK6" s="850">
        <v>4400</v>
      </c>
      <c r="BL6" s="237">
        <v>1</v>
      </c>
      <c r="BM6" s="1081" t="s">
        <v>2710</v>
      </c>
      <c r="BN6" s="1024">
        <v>3</v>
      </c>
      <c r="BO6" s="956" t="s">
        <v>2711</v>
      </c>
      <c r="BP6" s="956" t="s">
        <v>2712</v>
      </c>
      <c r="BQ6" s="2404" t="s">
        <v>2137</v>
      </c>
      <c r="BR6" s="847" t="s">
        <v>305</v>
      </c>
      <c r="BS6" s="2404" t="s">
        <v>2137</v>
      </c>
      <c r="BT6" s="587">
        <v>4.2300000000000004</v>
      </c>
    </row>
    <row r="7" spans="1:72" s="278" customFormat="1" ht="13.35" customHeight="1">
      <c r="A7" s="322">
        <v>2</v>
      </c>
      <c r="B7" s="941" t="s">
        <v>2128</v>
      </c>
      <c r="C7" s="886">
        <v>2</v>
      </c>
      <c r="D7" s="886" t="s">
        <v>2129</v>
      </c>
      <c r="E7" s="886" t="s">
        <v>2130</v>
      </c>
      <c r="F7" s="919">
        <v>2.99</v>
      </c>
      <c r="G7" s="886" t="s">
        <v>2150</v>
      </c>
      <c r="H7" s="919">
        <v>2.4900000000000002</v>
      </c>
      <c r="I7" s="919">
        <v>4300</v>
      </c>
      <c r="J7" s="785">
        <v>43</v>
      </c>
      <c r="K7" s="886" t="s">
        <v>2019</v>
      </c>
      <c r="L7" s="886">
        <v>10</v>
      </c>
      <c r="M7" s="886" t="s">
        <v>1356</v>
      </c>
      <c r="N7" s="886" t="s">
        <v>1081</v>
      </c>
      <c r="O7" s="919">
        <v>6.77</v>
      </c>
      <c r="P7" s="886" t="s">
        <v>1466</v>
      </c>
      <c r="Q7" s="919">
        <v>6.96</v>
      </c>
      <c r="R7" s="919">
        <v>2600</v>
      </c>
      <c r="S7" s="785">
        <v>84</v>
      </c>
      <c r="T7" s="886" t="s">
        <v>1986</v>
      </c>
      <c r="U7" s="886">
        <v>15</v>
      </c>
      <c r="V7" s="886" t="s">
        <v>704</v>
      </c>
      <c r="W7" s="886" t="s">
        <v>705</v>
      </c>
      <c r="X7" s="919">
        <v>8.59</v>
      </c>
      <c r="Y7" s="886" t="s">
        <v>305</v>
      </c>
      <c r="Z7" s="919">
        <v>8.59</v>
      </c>
      <c r="AA7" s="919">
        <v>150</v>
      </c>
      <c r="AB7" s="785">
        <v>125</v>
      </c>
      <c r="AC7" s="919" t="s">
        <v>1987</v>
      </c>
      <c r="AD7" s="886">
        <v>15</v>
      </c>
      <c r="AE7" s="886" t="s">
        <v>1093</v>
      </c>
      <c r="AF7" s="886" t="s">
        <v>1094</v>
      </c>
      <c r="AG7" s="919">
        <v>12.379999999999999</v>
      </c>
      <c r="AH7" s="886" t="s">
        <v>305</v>
      </c>
      <c r="AI7" s="919">
        <v>12.379999999999999</v>
      </c>
      <c r="AJ7" s="919">
        <v>200</v>
      </c>
      <c r="AK7" s="785">
        <v>166</v>
      </c>
      <c r="AL7" s="886" t="s">
        <v>2200</v>
      </c>
      <c r="AM7" s="886">
        <v>20</v>
      </c>
      <c r="AN7" s="919" t="s">
        <v>2201</v>
      </c>
      <c r="AO7" s="886" t="s">
        <v>2202</v>
      </c>
      <c r="AP7" s="919">
        <v>13.07</v>
      </c>
      <c r="AQ7" s="886" t="s">
        <v>305</v>
      </c>
      <c r="AR7" s="919">
        <v>13.07</v>
      </c>
      <c r="AS7" s="919">
        <v>125</v>
      </c>
      <c r="AT7" s="785">
        <v>207</v>
      </c>
      <c r="AU7" s="886" t="s">
        <v>2206</v>
      </c>
      <c r="AV7" s="886">
        <v>20</v>
      </c>
      <c r="AW7" s="886" t="s">
        <v>2207</v>
      </c>
      <c r="AX7" s="886" t="s">
        <v>2208</v>
      </c>
      <c r="AY7" s="919">
        <v>12.03</v>
      </c>
      <c r="AZ7" s="886" t="s">
        <v>305</v>
      </c>
      <c r="BA7" s="919">
        <v>12.03</v>
      </c>
      <c r="BB7" s="919">
        <v>250</v>
      </c>
      <c r="BC7" s="542">
        <v>248</v>
      </c>
      <c r="BD7" s="1007" t="s">
        <v>2405</v>
      </c>
      <c r="BE7" s="1007">
        <v>20</v>
      </c>
      <c r="BF7" s="886" t="s">
        <v>2404</v>
      </c>
      <c r="BG7" s="886" t="s">
        <v>2406</v>
      </c>
      <c r="BH7" s="919">
        <v>7.75</v>
      </c>
      <c r="BI7" s="886" t="s">
        <v>2591</v>
      </c>
      <c r="BJ7" s="588">
        <v>8.9</v>
      </c>
      <c r="BK7" s="782">
        <v>4500</v>
      </c>
      <c r="BL7" s="785">
        <v>2</v>
      </c>
      <c r="BM7" s="1082" t="s">
        <v>2140</v>
      </c>
      <c r="BN7" s="1025">
        <v>7</v>
      </c>
      <c r="BO7" s="955" t="s">
        <v>2138</v>
      </c>
      <c r="BP7" s="886" t="s">
        <v>2139</v>
      </c>
      <c r="BQ7" s="2407">
        <v>5</v>
      </c>
      <c r="BR7" s="904" t="s">
        <v>305</v>
      </c>
      <c r="BS7" s="588">
        <v>5</v>
      </c>
      <c r="BT7" s="588">
        <v>1438.54</v>
      </c>
    </row>
    <row r="8" spans="1:72" s="278" customFormat="1" ht="13.35" customHeight="1">
      <c r="A8" s="280">
        <v>3</v>
      </c>
      <c r="B8" s="939" t="s">
        <v>2162</v>
      </c>
      <c r="C8" s="859">
        <v>2</v>
      </c>
      <c r="D8" s="859" t="s">
        <v>2163</v>
      </c>
      <c r="E8" s="859" t="s">
        <v>2213</v>
      </c>
      <c r="F8" s="703">
        <v>2.34</v>
      </c>
      <c r="G8" s="859" t="s">
        <v>305</v>
      </c>
      <c r="H8" s="703">
        <v>2.34</v>
      </c>
      <c r="I8" s="703">
        <v>4500</v>
      </c>
      <c r="J8" s="237">
        <v>44</v>
      </c>
      <c r="K8" s="918" t="s">
        <v>2027</v>
      </c>
      <c r="L8" s="918">
        <v>10</v>
      </c>
      <c r="M8" s="918" t="s">
        <v>1540</v>
      </c>
      <c r="N8" s="918" t="s">
        <v>1541</v>
      </c>
      <c r="O8" s="850">
        <v>7</v>
      </c>
      <c r="P8" s="918" t="s">
        <v>1581</v>
      </c>
      <c r="Q8" s="850">
        <v>7.11</v>
      </c>
      <c r="R8" s="850">
        <v>2800</v>
      </c>
      <c r="S8" s="237">
        <v>85</v>
      </c>
      <c r="T8" s="859" t="s">
        <v>1997</v>
      </c>
      <c r="U8" s="859">
        <v>15</v>
      </c>
      <c r="V8" s="918" t="s">
        <v>706</v>
      </c>
      <c r="W8" s="918" t="s">
        <v>707</v>
      </c>
      <c r="X8" s="703">
        <v>8.8000000000000007</v>
      </c>
      <c r="Y8" s="859" t="s">
        <v>305</v>
      </c>
      <c r="Z8" s="850">
        <v>8.8000000000000007</v>
      </c>
      <c r="AA8" s="703">
        <v>131.25</v>
      </c>
      <c r="AB8" s="237">
        <v>126</v>
      </c>
      <c r="AC8" s="703" t="s">
        <v>1998</v>
      </c>
      <c r="AD8" s="859">
        <v>15</v>
      </c>
      <c r="AE8" s="859" t="s">
        <v>1095</v>
      </c>
      <c r="AF8" s="859" t="s">
        <v>1096</v>
      </c>
      <c r="AG8" s="703">
        <v>12.4</v>
      </c>
      <c r="AH8" s="859" t="s">
        <v>305</v>
      </c>
      <c r="AI8" s="703">
        <v>12.4</v>
      </c>
      <c r="AJ8" s="703">
        <v>200</v>
      </c>
      <c r="AK8" s="237">
        <v>167</v>
      </c>
      <c r="AL8" s="859" t="s">
        <v>1971</v>
      </c>
      <c r="AM8" s="859">
        <v>20</v>
      </c>
      <c r="AN8" s="703" t="s">
        <v>36</v>
      </c>
      <c r="AO8" s="859" t="s">
        <v>1380</v>
      </c>
      <c r="AP8" s="703">
        <v>13.07</v>
      </c>
      <c r="AQ8" s="859" t="s">
        <v>305</v>
      </c>
      <c r="AR8" s="703">
        <v>13.07</v>
      </c>
      <c r="AS8" s="703">
        <v>125</v>
      </c>
      <c r="AT8" s="237">
        <v>208</v>
      </c>
      <c r="AU8" s="859" t="s">
        <v>1972</v>
      </c>
      <c r="AV8" s="859">
        <v>20</v>
      </c>
      <c r="AW8" s="703" t="s">
        <v>1973</v>
      </c>
      <c r="AX8" s="859" t="s">
        <v>1974</v>
      </c>
      <c r="AY8" s="703">
        <v>12.07</v>
      </c>
      <c r="AZ8" s="859" t="s">
        <v>305</v>
      </c>
      <c r="BA8" s="703">
        <v>12.07</v>
      </c>
      <c r="BB8" s="703">
        <v>325</v>
      </c>
      <c r="BC8" s="249">
        <v>249</v>
      </c>
      <c r="BD8" s="1023" t="s">
        <v>2468</v>
      </c>
      <c r="BE8" s="1023">
        <v>20</v>
      </c>
      <c r="BF8" s="859" t="s">
        <v>2469</v>
      </c>
      <c r="BG8" s="859" t="s">
        <v>2470</v>
      </c>
      <c r="BH8" s="703">
        <v>8.65</v>
      </c>
      <c r="BI8" s="859" t="s">
        <v>2571</v>
      </c>
      <c r="BJ8" s="587">
        <v>8.5500000000000007</v>
      </c>
      <c r="BK8" s="850">
        <v>4413.03</v>
      </c>
      <c r="BL8" s="237">
        <v>3</v>
      </c>
      <c r="BM8" s="1081" t="s">
        <v>2140</v>
      </c>
      <c r="BN8" s="1024">
        <v>7</v>
      </c>
      <c r="BO8" s="956" t="s">
        <v>2138</v>
      </c>
      <c r="BP8" s="859" t="s">
        <v>2139</v>
      </c>
      <c r="BQ8" s="2404" t="s">
        <v>2137</v>
      </c>
      <c r="BR8" s="847" t="s">
        <v>305</v>
      </c>
      <c r="BS8" s="2405" t="s">
        <v>2137</v>
      </c>
      <c r="BT8" s="587">
        <v>554</v>
      </c>
    </row>
    <row r="9" spans="1:72" s="278" customFormat="1" ht="13.35" customHeight="1">
      <c r="A9" s="322">
        <v>4</v>
      </c>
      <c r="B9" s="941" t="s">
        <v>2214</v>
      </c>
      <c r="C9" s="886">
        <v>2</v>
      </c>
      <c r="D9" s="886" t="s">
        <v>2215</v>
      </c>
      <c r="E9" s="886" t="s">
        <v>2216</v>
      </c>
      <c r="F9" s="919">
        <v>2.33</v>
      </c>
      <c r="G9" s="886" t="s">
        <v>2395</v>
      </c>
      <c r="H9" s="919">
        <v>4.25</v>
      </c>
      <c r="I9" s="919">
        <v>4500</v>
      </c>
      <c r="J9" s="785">
        <v>45</v>
      </c>
      <c r="K9" s="886" t="s">
        <v>2035</v>
      </c>
      <c r="L9" s="886">
        <v>10</v>
      </c>
      <c r="M9" s="919" t="s">
        <v>1587</v>
      </c>
      <c r="N9" s="919" t="s">
        <v>1588</v>
      </c>
      <c r="O9" s="919">
        <v>7.5</v>
      </c>
      <c r="P9" s="886" t="s">
        <v>1678</v>
      </c>
      <c r="Q9" s="919">
        <v>7.6</v>
      </c>
      <c r="R9" s="919">
        <v>2800</v>
      </c>
      <c r="S9" s="785">
        <v>86</v>
      </c>
      <c r="T9" s="886" t="s">
        <v>2005</v>
      </c>
      <c r="U9" s="886">
        <v>15</v>
      </c>
      <c r="V9" s="886" t="s">
        <v>367</v>
      </c>
      <c r="W9" s="886" t="s">
        <v>368</v>
      </c>
      <c r="X9" s="919">
        <v>8.69</v>
      </c>
      <c r="Y9" s="886" t="s">
        <v>305</v>
      </c>
      <c r="Z9" s="919">
        <v>8.69</v>
      </c>
      <c r="AA9" s="919">
        <v>150</v>
      </c>
      <c r="AB9" s="785">
        <v>127</v>
      </c>
      <c r="AC9" s="919" t="s">
        <v>2006</v>
      </c>
      <c r="AD9" s="886">
        <v>15</v>
      </c>
      <c r="AE9" s="886" t="s">
        <v>1812</v>
      </c>
      <c r="AF9" s="886" t="s">
        <v>2007</v>
      </c>
      <c r="AG9" s="919">
        <v>12.4</v>
      </c>
      <c r="AH9" s="886" t="s">
        <v>305</v>
      </c>
      <c r="AI9" s="919">
        <v>12.4</v>
      </c>
      <c r="AJ9" s="919">
        <v>150</v>
      </c>
      <c r="AK9" s="785">
        <v>168</v>
      </c>
      <c r="AL9" s="886" t="s">
        <v>1978</v>
      </c>
      <c r="AM9" s="886">
        <v>20</v>
      </c>
      <c r="AN9" s="886" t="s">
        <v>37</v>
      </c>
      <c r="AO9" s="886" t="s">
        <v>48</v>
      </c>
      <c r="AP9" s="919">
        <v>13.07</v>
      </c>
      <c r="AQ9" s="886" t="s">
        <v>305</v>
      </c>
      <c r="AR9" s="919">
        <v>13.07</v>
      </c>
      <c r="AS9" s="919">
        <v>125</v>
      </c>
      <c r="AT9" s="785">
        <v>209</v>
      </c>
      <c r="AU9" s="886" t="s">
        <v>1979</v>
      </c>
      <c r="AV9" s="886">
        <v>20</v>
      </c>
      <c r="AW9" s="886" t="s">
        <v>1980</v>
      </c>
      <c r="AX9" s="886" t="s">
        <v>1981</v>
      </c>
      <c r="AY9" s="919">
        <v>12.1</v>
      </c>
      <c r="AZ9" s="886" t="s">
        <v>305</v>
      </c>
      <c r="BA9" s="919">
        <v>12.1</v>
      </c>
      <c r="BB9" s="919">
        <v>325</v>
      </c>
      <c r="BC9" s="542">
        <v>250</v>
      </c>
      <c r="BD9" s="1007" t="s">
        <v>2665</v>
      </c>
      <c r="BE9" s="1007">
        <v>20</v>
      </c>
      <c r="BF9" s="1007" t="s">
        <v>2664</v>
      </c>
      <c r="BG9" s="886" t="s">
        <v>2666</v>
      </c>
      <c r="BH9" s="919">
        <v>8.9499999999999993</v>
      </c>
      <c r="BI9" s="886" t="s">
        <v>305</v>
      </c>
      <c r="BJ9" s="588">
        <v>8.5500000000000007</v>
      </c>
      <c r="BK9" s="782">
        <v>500</v>
      </c>
      <c r="BL9" s="785">
        <v>4</v>
      </c>
      <c r="BM9" s="1082" t="s">
        <v>2141</v>
      </c>
      <c r="BN9" s="1025">
        <v>10</v>
      </c>
      <c r="BO9" s="955" t="s">
        <v>1097</v>
      </c>
      <c r="BP9" s="886" t="s">
        <v>1098</v>
      </c>
      <c r="BQ9" s="919">
        <v>7</v>
      </c>
      <c r="BR9" s="904" t="s">
        <v>305</v>
      </c>
      <c r="BS9" s="588">
        <v>7</v>
      </c>
      <c r="BT9" s="588">
        <v>612.67999999999995</v>
      </c>
    </row>
    <row r="10" spans="1:72" s="278" customFormat="1" ht="13.35" customHeight="1">
      <c r="A10" s="237">
        <v>5</v>
      </c>
      <c r="B10" s="939" t="s">
        <v>2289</v>
      </c>
      <c r="C10" s="859">
        <v>2</v>
      </c>
      <c r="D10" s="859" t="s">
        <v>2290</v>
      </c>
      <c r="E10" s="859" t="s">
        <v>2291</v>
      </c>
      <c r="F10" s="703">
        <v>4.8</v>
      </c>
      <c r="G10" s="859" t="s">
        <v>2298</v>
      </c>
      <c r="H10" s="703">
        <v>4.71</v>
      </c>
      <c r="I10" s="703">
        <v>4500</v>
      </c>
      <c r="J10" s="237">
        <v>46</v>
      </c>
      <c r="K10" s="859" t="s">
        <v>2042</v>
      </c>
      <c r="L10" s="859">
        <v>10</v>
      </c>
      <c r="M10" s="703" t="s">
        <v>1669</v>
      </c>
      <c r="N10" s="703" t="s">
        <v>1670</v>
      </c>
      <c r="O10" s="703">
        <v>7.15</v>
      </c>
      <c r="P10" s="859" t="s">
        <v>1693</v>
      </c>
      <c r="Q10" s="703">
        <v>8.89</v>
      </c>
      <c r="R10" s="703">
        <v>3000</v>
      </c>
      <c r="S10" s="237">
        <v>87</v>
      </c>
      <c r="T10" s="859" t="s">
        <v>2013</v>
      </c>
      <c r="U10" s="859">
        <v>15</v>
      </c>
      <c r="V10" s="859" t="s">
        <v>369</v>
      </c>
      <c r="W10" s="859" t="s">
        <v>370</v>
      </c>
      <c r="X10" s="703">
        <v>8.69</v>
      </c>
      <c r="Y10" s="859" t="s">
        <v>305</v>
      </c>
      <c r="Z10" s="703">
        <v>8.69</v>
      </c>
      <c r="AA10" s="703">
        <v>150</v>
      </c>
      <c r="AB10" s="237">
        <v>128</v>
      </c>
      <c r="AC10" s="850" t="s">
        <v>2014</v>
      </c>
      <c r="AD10" s="918">
        <v>15</v>
      </c>
      <c r="AE10" s="918" t="s">
        <v>1819</v>
      </c>
      <c r="AF10" s="918" t="s">
        <v>2015</v>
      </c>
      <c r="AG10" s="850">
        <v>12.4</v>
      </c>
      <c r="AH10" s="859" t="s">
        <v>305</v>
      </c>
      <c r="AI10" s="850">
        <v>12.4</v>
      </c>
      <c r="AJ10" s="850">
        <v>150</v>
      </c>
      <c r="AK10" s="237">
        <v>169</v>
      </c>
      <c r="AL10" s="918" t="s">
        <v>1988</v>
      </c>
      <c r="AM10" s="918">
        <v>20</v>
      </c>
      <c r="AN10" s="918" t="s">
        <v>38</v>
      </c>
      <c r="AO10" s="918" t="s">
        <v>49</v>
      </c>
      <c r="AP10" s="850">
        <v>13.04</v>
      </c>
      <c r="AQ10" s="859" t="s">
        <v>305</v>
      </c>
      <c r="AR10" s="850">
        <v>13.04</v>
      </c>
      <c r="AS10" s="850">
        <v>125</v>
      </c>
      <c r="AT10" s="237">
        <v>210</v>
      </c>
      <c r="AU10" s="918" t="s">
        <v>1989</v>
      </c>
      <c r="AV10" s="918">
        <v>20</v>
      </c>
      <c r="AW10" s="850" t="s">
        <v>1990</v>
      </c>
      <c r="AX10" s="918" t="s">
        <v>1991</v>
      </c>
      <c r="AY10" s="850">
        <v>12.12</v>
      </c>
      <c r="AZ10" s="859" t="s">
        <v>305</v>
      </c>
      <c r="BA10" s="850">
        <v>12.12</v>
      </c>
      <c r="BB10" s="850">
        <v>341</v>
      </c>
      <c r="BC10" s="2186" t="s">
        <v>2259</v>
      </c>
      <c r="BD10" s="2186"/>
      <c r="BE10" s="2186"/>
      <c r="BF10" s="2186"/>
      <c r="BG10" s="2186"/>
      <c r="BH10" s="850"/>
      <c r="BI10" s="859"/>
      <c r="BJ10" s="587"/>
      <c r="BK10" s="850"/>
      <c r="BL10" s="237">
        <v>5</v>
      </c>
      <c r="BM10" s="1081" t="s">
        <v>2143</v>
      </c>
      <c r="BN10" s="1024">
        <v>10</v>
      </c>
      <c r="BO10" s="956" t="s">
        <v>1097</v>
      </c>
      <c r="BP10" s="859" t="s">
        <v>1098</v>
      </c>
      <c r="BQ10" s="703">
        <v>7</v>
      </c>
      <c r="BR10" s="847" t="s">
        <v>305</v>
      </c>
      <c r="BS10" s="587">
        <v>7</v>
      </c>
      <c r="BT10" s="587">
        <v>501.43</v>
      </c>
    </row>
    <row r="11" spans="1:72" s="278" customFormat="1" ht="13.35" customHeight="1">
      <c r="A11" s="785">
        <v>6</v>
      </c>
      <c r="B11" s="904" t="s">
        <v>2398</v>
      </c>
      <c r="C11" s="935">
        <v>2</v>
      </c>
      <c r="D11" s="935" t="s">
        <v>2399</v>
      </c>
      <c r="E11" s="904" t="s">
        <v>2400</v>
      </c>
      <c r="F11" s="588">
        <v>4.75</v>
      </c>
      <c r="G11" s="904" t="s">
        <v>2434</v>
      </c>
      <c r="H11" s="588">
        <v>6.14</v>
      </c>
      <c r="I11" s="588">
        <v>4000</v>
      </c>
      <c r="J11" s="785">
        <v>47</v>
      </c>
      <c r="K11" s="886" t="s">
        <v>2049</v>
      </c>
      <c r="L11" s="886">
        <v>10</v>
      </c>
      <c r="M11" s="919" t="s">
        <v>1679</v>
      </c>
      <c r="N11" s="919" t="s">
        <v>1680</v>
      </c>
      <c r="O11" s="919">
        <v>7.74</v>
      </c>
      <c r="P11" s="886" t="s">
        <v>1699</v>
      </c>
      <c r="Q11" s="919">
        <v>9.0500000000000007</v>
      </c>
      <c r="R11" s="919">
        <v>2675</v>
      </c>
      <c r="S11" s="785">
        <v>88</v>
      </c>
      <c r="T11" s="886" t="s">
        <v>2020</v>
      </c>
      <c r="U11" s="886">
        <v>15</v>
      </c>
      <c r="V11" s="886" t="s">
        <v>371</v>
      </c>
      <c r="W11" s="886" t="s">
        <v>372</v>
      </c>
      <c r="X11" s="919">
        <v>8.74</v>
      </c>
      <c r="Y11" s="886" t="s">
        <v>305</v>
      </c>
      <c r="Z11" s="919">
        <v>8.74</v>
      </c>
      <c r="AA11" s="919">
        <v>100</v>
      </c>
      <c r="AB11" s="785">
        <v>129</v>
      </c>
      <c r="AC11" s="886" t="s">
        <v>2021</v>
      </c>
      <c r="AD11" s="886">
        <v>15</v>
      </c>
      <c r="AE11" s="886" t="s">
        <v>1829</v>
      </c>
      <c r="AF11" s="886" t="s">
        <v>2022</v>
      </c>
      <c r="AG11" s="919">
        <v>12.42</v>
      </c>
      <c r="AH11" s="886" t="s">
        <v>305</v>
      </c>
      <c r="AI11" s="919">
        <v>12.42</v>
      </c>
      <c r="AJ11" s="782">
        <v>150</v>
      </c>
      <c r="AK11" s="785">
        <v>170</v>
      </c>
      <c r="AL11" s="886" t="s">
        <v>1999</v>
      </c>
      <c r="AM11" s="886">
        <v>20</v>
      </c>
      <c r="AN11" s="919" t="s">
        <v>39</v>
      </c>
      <c r="AO11" s="886" t="s">
        <v>50</v>
      </c>
      <c r="AP11" s="919">
        <v>13.04</v>
      </c>
      <c r="AQ11" s="886" t="s">
        <v>305</v>
      </c>
      <c r="AR11" s="919">
        <v>13.04</v>
      </c>
      <c r="AS11" s="782">
        <v>125</v>
      </c>
      <c r="AT11" s="785">
        <v>211</v>
      </c>
      <c r="AU11" s="886" t="s">
        <v>2000</v>
      </c>
      <c r="AV11" s="886">
        <v>20</v>
      </c>
      <c r="AW11" s="886" t="s">
        <v>2001</v>
      </c>
      <c r="AX11" s="886" t="s">
        <v>2002</v>
      </c>
      <c r="AY11" s="919">
        <v>12.12</v>
      </c>
      <c r="AZ11" s="886" t="s">
        <v>305</v>
      </c>
      <c r="BA11" s="919">
        <v>12.12</v>
      </c>
      <c r="BB11" s="919">
        <v>300</v>
      </c>
      <c r="BC11" s="886">
        <v>1</v>
      </c>
      <c r="BD11" s="955" t="s">
        <v>2260</v>
      </c>
      <c r="BE11" s="1025">
        <v>5</v>
      </c>
      <c r="BF11" s="1653" t="s">
        <v>2282</v>
      </c>
      <c r="BG11" s="886" t="s">
        <v>2283</v>
      </c>
      <c r="BH11" s="886">
        <v>4.6900000000000004</v>
      </c>
      <c r="BI11" s="935" t="s">
        <v>2284</v>
      </c>
      <c r="BJ11" s="935">
        <v>4.6900000000000004</v>
      </c>
      <c r="BK11" s="782">
        <v>8000</v>
      </c>
      <c r="BL11" s="785">
        <v>6</v>
      </c>
      <c r="BM11" s="1082" t="s">
        <v>2142</v>
      </c>
      <c r="BN11" s="1025">
        <v>10</v>
      </c>
      <c r="BO11" s="955" t="s">
        <v>1097</v>
      </c>
      <c r="BP11" s="886" t="s">
        <v>1098</v>
      </c>
      <c r="BQ11" s="919">
        <v>7</v>
      </c>
      <c r="BR11" s="904" t="s">
        <v>305</v>
      </c>
      <c r="BS11" s="588">
        <v>7</v>
      </c>
      <c r="BT11" s="588">
        <v>821.01</v>
      </c>
    </row>
    <row r="12" spans="1:72" s="278" customFormat="1" ht="13.35" customHeight="1">
      <c r="A12" s="280">
        <v>7</v>
      </c>
      <c r="B12" s="847" t="s">
        <v>2463</v>
      </c>
      <c r="C12" s="847">
        <v>2</v>
      </c>
      <c r="D12" s="918" t="s">
        <v>2461</v>
      </c>
      <c r="E12" s="847" t="s">
        <v>2462</v>
      </c>
      <c r="F12" s="587">
        <v>7.21</v>
      </c>
      <c r="G12" s="847" t="s">
        <v>2548</v>
      </c>
      <c r="H12" s="587">
        <v>7.5</v>
      </c>
      <c r="I12" s="587">
        <v>4500</v>
      </c>
      <c r="J12" s="237">
        <v>48</v>
      </c>
      <c r="K12" s="859" t="s">
        <v>2056</v>
      </c>
      <c r="L12" s="859">
        <v>10</v>
      </c>
      <c r="M12" s="703" t="s">
        <v>1687</v>
      </c>
      <c r="N12" s="703" t="s">
        <v>1688</v>
      </c>
      <c r="O12" s="703">
        <v>8.44</v>
      </c>
      <c r="P12" s="859" t="s">
        <v>1693</v>
      </c>
      <c r="Q12" s="703">
        <v>8.89</v>
      </c>
      <c r="R12" s="703">
        <v>3000</v>
      </c>
      <c r="S12" s="237">
        <v>89</v>
      </c>
      <c r="T12" s="859" t="s">
        <v>2028</v>
      </c>
      <c r="U12" s="859">
        <v>15</v>
      </c>
      <c r="V12" s="859" t="s">
        <v>373</v>
      </c>
      <c r="W12" s="859" t="s">
        <v>374</v>
      </c>
      <c r="X12" s="703">
        <v>8.74</v>
      </c>
      <c r="Y12" s="859" t="s">
        <v>305</v>
      </c>
      <c r="Z12" s="703">
        <v>8.74</v>
      </c>
      <c r="AA12" s="703">
        <v>100</v>
      </c>
      <c r="AB12" s="237">
        <v>130</v>
      </c>
      <c r="AC12" s="703" t="s">
        <v>2029</v>
      </c>
      <c r="AD12" s="859">
        <v>15</v>
      </c>
      <c r="AE12" s="859" t="s">
        <v>1835</v>
      </c>
      <c r="AF12" s="859" t="s">
        <v>2030</v>
      </c>
      <c r="AG12" s="703">
        <v>12.42</v>
      </c>
      <c r="AH12" s="859" t="s">
        <v>305</v>
      </c>
      <c r="AI12" s="703">
        <v>12.42</v>
      </c>
      <c r="AJ12" s="850">
        <v>150</v>
      </c>
      <c r="AK12" s="237">
        <v>171</v>
      </c>
      <c r="AL12" s="859" t="s">
        <v>2008</v>
      </c>
      <c r="AM12" s="859">
        <v>20</v>
      </c>
      <c r="AN12" s="703" t="s">
        <v>40</v>
      </c>
      <c r="AO12" s="859" t="s">
        <v>51</v>
      </c>
      <c r="AP12" s="703">
        <v>13.019999999999998</v>
      </c>
      <c r="AQ12" s="859" t="s">
        <v>305</v>
      </c>
      <c r="AR12" s="703">
        <v>13.019999999999998</v>
      </c>
      <c r="AS12" s="850">
        <v>125</v>
      </c>
      <c r="AT12" s="237">
        <v>212</v>
      </c>
      <c r="AU12" s="859" t="s">
        <v>2009</v>
      </c>
      <c r="AV12" s="859">
        <v>20</v>
      </c>
      <c r="AW12" s="859" t="s">
        <v>2010</v>
      </c>
      <c r="AX12" s="859" t="s">
        <v>2011</v>
      </c>
      <c r="AY12" s="703">
        <v>12.16</v>
      </c>
      <c r="AZ12" s="859" t="s">
        <v>305</v>
      </c>
      <c r="BA12" s="703">
        <v>12.16</v>
      </c>
      <c r="BB12" s="703">
        <v>300</v>
      </c>
      <c r="BC12" s="280">
        <v>2</v>
      </c>
      <c r="BD12" s="847" t="s">
        <v>2377</v>
      </c>
      <c r="BE12" s="847">
        <v>5</v>
      </c>
      <c r="BF12" s="859" t="s">
        <v>2378</v>
      </c>
      <c r="BG12" s="859" t="s">
        <v>2379</v>
      </c>
      <c r="BH12" s="703">
        <v>4.6500000000000004</v>
      </c>
      <c r="BI12" s="859" t="s">
        <v>305</v>
      </c>
      <c r="BJ12" s="587" t="s">
        <v>305</v>
      </c>
      <c r="BK12" s="850">
        <v>5000</v>
      </c>
      <c r="BL12" s="237">
        <v>7</v>
      </c>
      <c r="BM12" s="1081" t="s">
        <v>2144</v>
      </c>
      <c r="BN12" s="1024">
        <v>13</v>
      </c>
      <c r="BO12" s="956" t="s">
        <v>1031</v>
      </c>
      <c r="BP12" s="859" t="s">
        <v>1036</v>
      </c>
      <c r="BQ12" s="703">
        <v>5</v>
      </c>
      <c r="BR12" s="847" t="s">
        <v>305</v>
      </c>
      <c r="BS12" s="587">
        <v>5</v>
      </c>
      <c r="BT12" s="587">
        <v>214.17</v>
      </c>
    </row>
    <row r="13" spans="1:72" s="278" customFormat="1" ht="13.35" customHeight="1" thickBot="1">
      <c r="A13" s="322">
        <v>8</v>
      </c>
      <c r="B13" s="904" t="s">
        <v>2477</v>
      </c>
      <c r="C13" s="904">
        <v>2</v>
      </c>
      <c r="D13" s="935" t="s">
        <v>2478</v>
      </c>
      <c r="E13" s="904" t="s">
        <v>2479</v>
      </c>
      <c r="F13" s="588">
        <v>7.4</v>
      </c>
      <c r="G13" s="588" t="s">
        <v>2567</v>
      </c>
      <c r="H13" s="588">
        <v>7.5</v>
      </c>
      <c r="I13" s="588">
        <v>4000</v>
      </c>
      <c r="J13" s="785">
        <v>49</v>
      </c>
      <c r="K13" s="886" t="s">
        <v>2063</v>
      </c>
      <c r="L13" s="886">
        <v>10</v>
      </c>
      <c r="M13" s="886" t="s">
        <v>1695</v>
      </c>
      <c r="N13" s="886" t="s">
        <v>1696</v>
      </c>
      <c r="O13" s="919">
        <v>9.27</v>
      </c>
      <c r="P13" s="886" t="s">
        <v>1704</v>
      </c>
      <c r="Q13" s="919">
        <v>9.19</v>
      </c>
      <c r="R13" s="919">
        <v>4000</v>
      </c>
      <c r="S13" s="785">
        <v>90</v>
      </c>
      <c r="T13" s="886" t="s">
        <v>2036</v>
      </c>
      <c r="U13" s="886">
        <v>15</v>
      </c>
      <c r="V13" s="886" t="s">
        <v>375</v>
      </c>
      <c r="W13" s="886" t="s">
        <v>376</v>
      </c>
      <c r="X13" s="919">
        <v>8.75</v>
      </c>
      <c r="Y13" s="886" t="s">
        <v>305</v>
      </c>
      <c r="Z13" s="919">
        <v>8.75</v>
      </c>
      <c r="AA13" s="919">
        <v>100</v>
      </c>
      <c r="AB13" s="785">
        <v>131</v>
      </c>
      <c r="AC13" s="919" t="s">
        <v>2037</v>
      </c>
      <c r="AD13" s="886">
        <v>15</v>
      </c>
      <c r="AE13" s="886" t="s">
        <v>1843</v>
      </c>
      <c r="AF13" s="886" t="s">
        <v>2120</v>
      </c>
      <c r="AG13" s="919">
        <v>12.29</v>
      </c>
      <c r="AH13" s="886" t="s">
        <v>305</v>
      </c>
      <c r="AI13" s="919">
        <v>12.29</v>
      </c>
      <c r="AJ13" s="919">
        <v>150</v>
      </c>
      <c r="AK13" s="785">
        <v>172</v>
      </c>
      <c r="AL13" s="886" t="s">
        <v>2016</v>
      </c>
      <c r="AM13" s="886">
        <v>20</v>
      </c>
      <c r="AN13" s="919" t="s">
        <v>1</v>
      </c>
      <c r="AO13" s="886" t="s">
        <v>42</v>
      </c>
      <c r="AP13" s="919">
        <v>13</v>
      </c>
      <c r="AQ13" s="886" t="s">
        <v>305</v>
      </c>
      <c r="AR13" s="919">
        <v>13</v>
      </c>
      <c r="AS13" s="782">
        <v>125</v>
      </c>
      <c r="AT13" s="785">
        <v>213</v>
      </c>
      <c r="AU13" s="886" t="s">
        <v>2017</v>
      </c>
      <c r="AV13" s="886">
        <v>20</v>
      </c>
      <c r="AW13" s="919" t="s">
        <v>2018</v>
      </c>
      <c r="AX13" s="886" t="s">
        <v>1504</v>
      </c>
      <c r="AY13" s="919">
        <v>12.16</v>
      </c>
      <c r="AZ13" s="886" t="s">
        <v>305</v>
      </c>
      <c r="BA13" s="919">
        <v>12.16</v>
      </c>
      <c r="BB13" s="919">
        <v>300</v>
      </c>
      <c r="BC13" s="873">
        <v>3</v>
      </c>
      <c r="BD13" s="1037" t="s">
        <v>2450</v>
      </c>
      <c r="BE13" s="1037">
        <v>5</v>
      </c>
      <c r="BF13" s="1037" t="s">
        <v>2426</v>
      </c>
      <c r="BG13" s="1037" t="s">
        <v>2432</v>
      </c>
      <c r="BH13" s="1037">
        <v>4.75</v>
      </c>
      <c r="BI13" s="1037" t="s">
        <v>305</v>
      </c>
      <c r="BJ13" s="1037" t="s">
        <v>305</v>
      </c>
      <c r="BK13" s="1646">
        <v>5000</v>
      </c>
      <c r="BL13" s="785">
        <v>8</v>
      </c>
      <c r="BM13" s="354" t="s">
        <v>2145</v>
      </c>
      <c r="BN13" s="904">
        <v>13</v>
      </c>
      <c r="BO13" s="904" t="s">
        <v>1031</v>
      </c>
      <c r="BP13" s="904" t="s">
        <v>1036</v>
      </c>
      <c r="BQ13" s="588">
        <v>5</v>
      </c>
      <c r="BR13" s="904" t="s">
        <v>305</v>
      </c>
      <c r="BS13" s="588">
        <v>5</v>
      </c>
      <c r="BT13" s="904">
        <v>298.68</v>
      </c>
    </row>
    <row r="14" spans="1:72" s="278" customFormat="1" ht="13.35" customHeight="1" thickBot="1">
      <c r="A14" s="280">
        <v>9</v>
      </c>
      <c r="B14" s="847" t="s">
        <v>2587</v>
      </c>
      <c r="C14" s="847">
        <v>2</v>
      </c>
      <c r="D14" s="918" t="s">
        <v>2588</v>
      </c>
      <c r="E14" s="847" t="s">
        <v>2589</v>
      </c>
      <c r="F14" s="847">
        <v>7.45</v>
      </c>
      <c r="G14" s="847" t="s">
        <v>2659</v>
      </c>
      <c r="H14" s="587">
        <v>7.55</v>
      </c>
      <c r="I14" s="587">
        <v>4500</v>
      </c>
      <c r="J14" s="237">
        <v>50</v>
      </c>
      <c r="K14" s="859" t="s">
        <v>1790</v>
      </c>
      <c r="L14" s="859">
        <v>10</v>
      </c>
      <c r="M14" s="703" t="s">
        <v>1705</v>
      </c>
      <c r="N14" s="703" t="s">
        <v>1706</v>
      </c>
      <c r="O14" s="703">
        <v>9.23</v>
      </c>
      <c r="P14" s="859" t="s">
        <v>1791</v>
      </c>
      <c r="Q14" s="703">
        <v>8.64</v>
      </c>
      <c r="R14" s="703">
        <v>4000</v>
      </c>
      <c r="S14" s="237">
        <v>91</v>
      </c>
      <c r="T14" s="859" t="s">
        <v>2043</v>
      </c>
      <c r="U14" s="859">
        <v>15</v>
      </c>
      <c r="V14" s="939" t="s">
        <v>718</v>
      </c>
      <c r="W14" s="939" t="s">
        <v>719</v>
      </c>
      <c r="X14" s="703">
        <v>8.77</v>
      </c>
      <c r="Y14" s="859" t="s">
        <v>305</v>
      </c>
      <c r="Z14" s="850">
        <v>8.77</v>
      </c>
      <c r="AA14" s="703">
        <v>80</v>
      </c>
      <c r="AB14" s="237">
        <v>132</v>
      </c>
      <c r="AC14" s="859" t="s">
        <v>2044</v>
      </c>
      <c r="AD14" s="859">
        <v>15</v>
      </c>
      <c r="AE14" s="859" t="s">
        <v>1125</v>
      </c>
      <c r="AF14" s="859" t="s">
        <v>1126</v>
      </c>
      <c r="AG14" s="703">
        <v>12.29</v>
      </c>
      <c r="AH14" s="859" t="s">
        <v>305</v>
      </c>
      <c r="AI14" s="703">
        <v>12.29</v>
      </c>
      <c r="AJ14" s="703">
        <v>150</v>
      </c>
      <c r="AK14" s="237">
        <v>173</v>
      </c>
      <c r="AL14" s="859" t="s">
        <v>2023</v>
      </c>
      <c r="AM14" s="859">
        <v>20</v>
      </c>
      <c r="AN14" s="703" t="s">
        <v>2</v>
      </c>
      <c r="AO14" s="859" t="s">
        <v>3</v>
      </c>
      <c r="AP14" s="703">
        <v>12.990000000000002</v>
      </c>
      <c r="AQ14" s="859" t="s">
        <v>305</v>
      </c>
      <c r="AR14" s="703">
        <v>12.990000000000002</v>
      </c>
      <c r="AS14" s="850">
        <v>125</v>
      </c>
      <c r="AT14" s="237">
        <v>214</v>
      </c>
      <c r="AU14" s="859" t="s">
        <v>2024</v>
      </c>
      <c r="AV14" s="859">
        <v>20</v>
      </c>
      <c r="AW14" s="859" t="s">
        <v>2025</v>
      </c>
      <c r="AX14" s="859" t="s">
        <v>2026</v>
      </c>
      <c r="AY14" s="703">
        <v>12.16</v>
      </c>
      <c r="AZ14" s="859" t="s">
        <v>305</v>
      </c>
      <c r="BA14" s="703">
        <v>12.16</v>
      </c>
      <c r="BB14" s="703">
        <v>100</v>
      </c>
      <c r="BC14" s="398" t="s">
        <v>1246</v>
      </c>
      <c r="BD14" s="1211" t="s">
        <v>2709</v>
      </c>
      <c r="BE14" s="1211"/>
      <c r="BF14" s="1211"/>
      <c r="BG14" s="847"/>
      <c r="BH14" s="859"/>
      <c r="BI14" s="587"/>
      <c r="BJ14" s="850"/>
      <c r="BL14" s="1168">
        <v>9</v>
      </c>
      <c r="BM14" s="551" t="s">
        <v>2146</v>
      </c>
      <c r="BN14" s="2406">
        <v>13</v>
      </c>
      <c r="BO14" s="2406" t="s">
        <v>1031</v>
      </c>
      <c r="BP14" s="2406" t="s">
        <v>1036</v>
      </c>
      <c r="BQ14" s="1182">
        <v>5</v>
      </c>
      <c r="BR14" s="2406" t="s">
        <v>305</v>
      </c>
      <c r="BS14" s="1182">
        <v>5</v>
      </c>
      <c r="BT14" s="2406">
        <v>203.95</v>
      </c>
    </row>
    <row r="15" spans="1:72" s="278" customFormat="1" ht="13.35" customHeight="1">
      <c r="A15" s="904">
        <v>10</v>
      </c>
      <c r="B15" s="904" t="s">
        <v>2178</v>
      </c>
      <c r="C15" s="904">
        <v>5</v>
      </c>
      <c r="D15" s="935" t="s">
        <v>2179</v>
      </c>
      <c r="E15" s="904" t="s">
        <v>2180</v>
      </c>
      <c r="F15" s="904">
        <v>5.74</v>
      </c>
      <c r="G15" s="904" t="s">
        <v>305</v>
      </c>
      <c r="H15" s="904">
        <v>5.74</v>
      </c>
      <c r="I15" s="588">
        <v>2900</v>
      </c>
      <c r="J15" s="785">
        <v>51</v>
      </c>
      <c r="K15" s="886" t="s">
        <v>1798</v>
      </c>
      <c r="L15" s="886">
        <v>10</v>
      </c>
      <c r="M15" s="919" t="s">
        <v>1715</v>
      </c>
      <c r="N15" s="919" t="s">
        <v>1716</v>
      </c>
      <c r="O15" s="919">
        <v>9.15</v>
      </c>
      <c r="P15" s="886" t="s">
        <v>2080</v>
      </c>
      <c r="Q15" s="919">
        <v>6.64</v>
      </c>
      <c r="R15" s="919">
        <v>4000</v>
      </c>
      <c r="S15" s="785">
        <v>92</v>
      </c>
      <c r="T15" s="886" t="s">
        <v>2050</v>
      </c>
      <c r="U15" s="886">
        <v>15</v>
      </c>
      <c r="V15" s="886" t="s">
        <v>720</v>
      </c>
      <c r="W15" s="886" t="s">
        <v>721</v>
      </c>
      <c r="X15" s="919">
        <v>8.8000000000000007</v>
      </c>
      <c r="Y15" s="886" t="s">
        <v>305</v>
      </c>
      <c r="Z15" s="919">
        <v>8.8000000000000007</v>
      </c>
      <c r="AA15" s="919">
        <v>75</v>
      </c>
      <c r="AB15" s="785">
        <v>133</v>
      </c>
      <c r="AC15" s="886" t="s">
        <v>2051</v>
      </c>
      <c r="AD15" s="886">
        <v>15</v>
      </c>
      <c r="AE15" s="886" t="s">
        <v>1129</v>
      </c>
      <c r="AF15" s="886" t="s">
        <v>1131</v>
      </c>
      <c r="AG15" s="919">
        <v>12.2</v>
      </c>
      <c r="AH15" s="886" t="s">
        <v>305</v>
      </c>
      <c r="AI15" s="919">
        <v>12.2</v>
      </c>
      <c r="AJ15" s="919">
        <v>150</v>
      </c>
      <c r="AK15" s="785">
        <v>174</v>
      </c>
      <c r="AL15" s="886" t="s">
        <v>2031</v>
      </c>
      <c r="AM15" s="886">
        <v>20</v>
      </c>
      <c r="AN15" s="886" t="s">
        <v>4</v>
      </c>
      <c r="AO15" s="886" t="s">
        <v>5</v>
      </c>
      <c r="AP15" s="919">
        <v>12.98</v>
      </c>
      <c r="AQ15" s="886" t="s">
        <v>305</v>
      </c>
      <c r="AR15" s="919">
        <v>12.98</v>
      </c>
      <c r="AS15" s="782">
        <v>150</v>
      </c>
      <c r="AT15" s="785">
        <v>215</v>
      </c>
      <c r="AU15" s="886" t="s">
        <v>2032</v>
      </c>
      <c r="AV15" s="886">
        <v>20</v>
      </c>
      <c r="AW15" s="886" t="s">
        <v>2033</v>
      </c>
      <c r="AX15" s="886" t="s">
        <v>2034</v>
      </c>
      <c r="AY15" s="919">
        <v>12.18</v>
      </c>
      <c r="AZ15" s="886" t="s">
        <v>305</v>
      </c>
      <c r="BA15" s="919">
        <v>12.18</v>
      </c>
      <c r="BB15" s="919">
        <v>100</v>
      </c>
      <c r="BC15" s="1256" t="s">
        <v>273</v>
      </c>
      <c r="BD15" s="1257" t="s">
        <v>2297</v>
      </c>
      <c r="BE15" s="1211"/>
      <c r="BF15" s="1211"/>
      <c r="BG15" s="847"/>
      <c r="BH15" s="859"/>
      <c r="BK15" s="9" t="s">
        <v>2382</v>
      </c>
      <c r="BL15" s="237"/>
      <c r="BM15" s="278" t="s">
        <v>2713</v>
      </c>
      <c r="BN15" s="601"/>
      <c r="BO15" s="8"/>
      <c r="BP15" s="8"/>
      <c r="BQ15" s="8"/>
      <c r="BR15" s="1211"/>
    </row>
    <row r="16" spans="1:72" s="278" customFormat="1" ht="13.35" customHeight="1">
      <c r="A16" s="280">
        <v>11</v>
      </c>
      <c r="B16" s="939" t="s">
        <v>2250</v>
      </c>
      <c r="C16" s="859">
        <v>5</v>
      </c>
      <c r="D16" s="859" t="s">
        <v>2226</v>
      </c>
      <c r="E16" s="703" t="s">
        <v>2181</v>
      </c>
      <c r="F16" s="703">
        <v>4.5</v>
      </c>
      <c r="G16" s="859" t="s">
        <v>305</v>
      </c>
      <c r="H16" s="703">
        <v>4.5</v>
      </c>
      <c r="I16" s="703">
        <v>3000</v>
      </c>
      <c r="J16" s="237">
        <v>52</v>
      </c>
      <c r="K16" s="859" t="s">
        <v>1805</v>
      </c>
      <c r="L16" s="859">
        <v>10</v>
      </c>
      <c r="M16" s="703" t="s">
        <v>1806</v>
      </c>
      <c r="N16" s="703" t="s">
        <v>1807</v>
      </c>
      <c r="O16" s="703">
        <v>8.74</v>
      </c>
      <c r="P16" s="859" t="s">
        <v>305</v>
      </c>
      <c r="Q16" s="703">
        <v>8.74</v>
      </c>
      <c r="R16" s="703">
        <v>4500</v>
      </c>
      <c r="S16" s="237">
        <v>93</v>
      </c>
      <c r="T16" s="859" t="s">
        <v>2057</v>
      </c>
      <c r="U16" s="859">
        <v>15</v>
      </c>
      <c r="V16" s="859" t="s">
        <v>722</v>
      </c>
      <c r="W16" s="859" t="s">
        <v>723</v>
      </c>
      <c r="X16" s="703">
        <v>8.8000000000000007</v>
      </c>
      <c r="Y16" s="859" t="s">
        <v>305</v>
      </c>
      <c r="Z16" s="703">
        <v>8.8000000000000007</v>
      </c>
      <c r="AA16" s="703">
        <v>75</v>
      </c>
      <c r="AB16" s="237">
        <v>134</v>
      </c>
      <c r="AC16" s="859" t="s">
        <v>2058</v>
      </c>
      <c r="AD16" s="859">
        <v>15</v>
      </c>
      <c r="AE16" s="859" t="s">
        <v>1132</v>
      </c>
      <c r="AF16" s="859" t="s">
        <v>1134</v>
      </c>
      <c r="AG16" s="703">
        <v>12.1</v>
      </c>
      <c r="AH16" s="859" t="s">
        <v>305</v>
      </c>
      <c r="AI16" s="703">
        <v>12.1</v>
      </c>
      <c r="AJ16" s="703">
        <v>150</v>
      </c>
      <c r="AK16" s="255">
        <v>175</v>
      </c>
      <c r="AL16" s="859" t="s">
        <v>2038</v>
      </c>
      <c r="AM16" s="859">
        <v>20</v>
      </c>
      <c r="AN16" s="859" t="s">
        <v>6</v>
      </c>
      <c r="AO16" s="859" t="s">
        <v>7</v>
      </c>
      <c r="AP16" s="703">
        <v>11.48</v>
      </c>
      <c r="AQ16" s="859" t="s">
        <v>305</v>
      </c>
      <c r="AR16" s="703">
        <v>11.48</v>
      </c>
      <c r="AS16" s="850">
        <v>150</v>
      </c>
      <c r="AT16" s="237">
        <v>216</v>
      </c>
      <c r="AU16" s="859" t="s">
        <v>2039</v>
      </c>
      <c r="AV16" s="859">
        <v>20</v>
      </c>
      <c r="AW16" s="859" t="s">
        <v>2040</v>
      </c>
      <c r="AX16" s="859" t="s">
        <v>2041</v>
      </c>
      <c r="AY16" s="703">
        <v>12.28</v>
      </c>
      <c r="AZ16" s="859" t="s">
        <v>305</v>
      </c>
      <c r="BA16" s="703">
        <v>12.28</v>
      </c>
      <c r="BB16" s="703">
        <v>100</v>
      </c>
      <c r="BC16" s="1256"/>
      <c r="BD16" s="1257"/>
      <c r="BE16" s="1211"/>
      <c r="BF16" s="1211"/>
      <c r="BG16" s="847"/>
      <c r="BH16" s="859"/>
      <c r="BK16" s="9"/>
      <c r="BL16" s="237"/>
      <c r="BM16" s="302" t="s">
        <v>2285</v>
      </c>
      <c r="BN16" s="302"/>
      <c r="BO16" s="302"/>
      <c r="BP16" s="302"/>
      <c r="BQ16" s="278" t="s">
        <v>2382</v>
      </c>
      <c r="BR16" s="302"/>
    </row>
    <row r="17" spans="1:72" s="278" customFormat="1" ht="13.35" customHeight="1">
      <c r="A17" s="322">
        <v>12</v>
      </c>
      <c r="B17" s="904" t="s">
        <v>1952</v>
      </c>
      <c r="C17" s="886">
        <v>5</v>
      </c>
      <c r="D17" s="886" t="s">
        <v>1676</v>
      </c>
      <c r="E17" s="886" t="s">
        <v>1677</v>
      </c>
      <c r="F17" s="919">
        <v>6.44</v>
      </c>
      <c r="G17" s="886" t="s">
        <v>1694</v>
      </c>
      <c r="H17" s="919">
        <v>9.23</v>
      </c>
      <c r="I17" s="919">
        <v>2700</v>
      </c>
      <c r="J17" s="785">
        <v>53</v>
      </c>
      <c r="K17" s="886" t="s">
        <v>1814</v>
      </c>
      <c r="L17" s="886">
        <v>10</v>
      </c>
      <c r="M17" s="919" t="s">
        <v>1752</v>
      </c>
      <c r="N17" s="919" t="s">
        <v>1753</v>
      </c>
      <c r="O17" s="919">
        <v>8.66</v>
      </c>
      <c r="P17" s="886" t="s">
        <v>2104</v>
      </c>
      <c r="Q17" s="919">
        <v>5.75</v>
      </c>
      <c r="R17" s="919">
        <v>4500</v>
      </c>
      <c r="S17" s="785">
        <v>94</v>
      </c>
      <c r="T17" s="886" t="s">
        <v>2064</v>
      </c>
      <c r="U17" s="886">
        <v>15</v>
      </c>
      <c r="V17" s="886" t="s">
        <v>2065</v>
      </c>
      <c r="W17" s="886" t="s">
        <v>2066</v>
      </c>
      <c r="X17" s="919">
        <v>8.85</v>
      </c>
      <c r="Y17" s="886" t="s">
        <v>305</v>
      </c>
      <c r="Z17" s="919">
        <v>8.85</v>
      </c>
      <c r="AA17" s="919">
        <v>140</v>
      </c>
      <c r="AB17" s="945">
        <v>135</v>
      </c>
      <c r="AC17" s="886" t="s">
        <v>2067</v>
      </c>
      <c r="AD17" s="886">
        <v>15</v>
      </c>
      <c r="AE17" s="886" t="s">
        <v>1138</v>
      </c>
      <c r="AF17" s="886" t="s">
        <v>1139</v>
      </c>
      <c r="AG17" s="919">
        <v>12</v>
      </c>
      <c r="AH17" s="886" t="s">
        <v>305</v>
      </c>
      <c r="AI17" s="919">
        <v>12</v>
      </c>
      <c r="AJ17" s="919">
        <v>350</v>
      </c>
      <c r="AK17" s="785">
        <v>176</v>
      </c>
      <c r="AL17" s="886" t="s">
        <v>2045</v>
      </c>
      <c r="AM17" s="886">
        <v>20</v>
      </c>
      <c r="AN17" s="886" t="s">
        <v>8</v>
      </c>
      <c r="AO17" s="886" t="s">
        <v>9</v>
      </c>
      <c r="AP17" s="919">
        <v>11.09</v>
      </c>
      <c r="AQ17" s="886" t="s">
        <v>305</v>
      </c>
      <c r="AR17" s="919">
        <v>11.09</v>
      </c>
      <c r="AS17" s="782">
        <v>133.19999999999999</v>
      </c>
      <c r="AT17" s="785">
        <v>217</v>
      </c>
      <c r="AU17" s="886" t="s">
        <v>2046</v>
      </c>
      <c r="AV17" s="886">
        <v>20</v>
      </c>
      <c r="AW17" s="919" t="s">
        <v>2047</v>
      </c>
      <c r="AX17" s="886" t="s">
        <v>2048</v>
      </c>
      <c r="AY17" s="919">
        <v>12.38</v>
      </c>
      <c r="AZ17" s="886" t="s">
        <v>305</v>
      </c>
      <c r="BA17" s="919">
        <v>12.38</v>
      </c>
      <c r="BB17" s="919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7" t="s">
        <v>1961</v>
      </c>
      <c r="C18" s="859">
        <v>5</v>
      </c>
      <c r="D18" s="859" t="s">
        <v>1682</v>
      </c>
      <c r="E18" s="859" t="s">
        <v>1683</v>
      </c>
      <c r="F18" s="703">
        <v>8.1</v>
      </c>
      <c r="G18" s="859" t="s">
        <v>1700</v>
      </c>
      <c r="H18" s="703">
        <v>8.9700000000000006</v>
      </c>
      <c r="I18" s="703">
        <v>4300</v>
      </c>
      <c r="J18" s="237">
        <v>54</v>
      </c>
      <c r="K18" s="939" t="s">
        <v>1821</v>
      </c>
      <c r="L18" s="939">
        <v>10</v>
      </c>
      <c r="M18" s="850" t="s">
        <v>1765</v>
      </c>
      <c r="N18" s="850" t="s">
        <v>1822</v>
      </c>
      <c r="O18" s="850">
        <v>7.89</v>
      </c>
      <c r="P18" s="939" t="s">
        <v>1769</v>
      </c>
      <c r="Q18" s="850">
        <v>7.4</v>
      </c>
      <c r="R18" s="850">
        <v>4000</v>
      </c>
      <c r="S18" s="255">
        <v>95</v>
      </c>
      <c r="T18" s="859" t="s">
        <v>1792</v>
      </c>
      <c r="U18" s="859">
        <v>15</v>
      </c>
      <c r="V18" s="859" t="s">
        <v>724</v>
      </c>
      <c r="W18" s="859" t="s">
        <v>725</v>
      </c>
      <c r="X18" s="703">
        <v>8.86</v>
      </c>
      <c r="Y18" s="859" t="s">
        <v>305</v>
      </c>
      <c r="Z18" s="703">
        <v>8.86</v>
      </c>
      <c r="AA18" s="703">
        <v>140</v>
      </c>
      <c r="AB18" s="237">
        <v>136</v>
      </c>
      <c r="AC18" s="859" t="s">
        <v>1793</v>
      </c>
      <c r="AD18" s="859">
        <v>15</v>
      </c>
      <c r="AE18" s="859" t="s">
        <v>1140</v>
      </c>
      <c r="AF18" s="859" t="s">
        <v>1141</v>
      </c>
      <c r="AG18" s="703">
        <v>11.97</v>
      </c>
      <c r="AH18" s="859" t="s">
        <v>305</v>
      </c>
      <c r="AI18" s="703">
        <v>11.97</v>
      </c>
      <c r="AJ18" s="703">
        <v>350</v>
      </c>
      <c r="AK18" s="237">
        <v>177</v>
      </c>
      <c r="AL18" s="859" t="s">
        <v>2052</v>
      </c>
      <c r="AM18" s="859">
        <v>20</v>
      </c>
      <c r="AN18" s="859" t="s">
        <v>10</v>
      </c>
      <c r="AO18" s="859" t="s">
        <v>11</v>
      </c>
      <c r="AP18" s="703">
        <v>10.07</v>
      </c>
      <c r="AQ18" s="859" t="s">
        <v>305</v>
      </c>
      <c r="AR18" s="703">
        <v>10.07</v>
      </c>
      <c r="AS18" s="850">
        <v>80</v>
      </c>
      <c r="AT18" s="237">
        <v>218</v>
      </c>
      <c r="AU18" s="859" t="s">
        <v>2053</v>
      </c>
      <c r="AV18" s="859">
        <v>20</v>
      </c>
      <c r="AW18" s="859" t="s">
        <v>2054</v>
      </c>
      <c r="AX18" s="859" t="s">
        <v>2055</v>
      </c>
      <c r="AY18" s="703">
        <v>12.48</v>
      </c>
      <c r="AZ18" s="859" t="s">
        <v>305</v>
      </c>
      <c r="BA18" s="703">
        <v>12.48</v>
      </c>
      <c r="BB18" s="703">
        <v>100</v>
      </c>
      <c r="BL18" s="237"/>
      <c r="BS18" s="587"/>
      <c r="BT18" s="587"/>
    </row>
    <row r="19" spans="1:72" s="278" customFormat="1" ht="13.35" customHeight="1">
      <c r="A19" s="322">
        <v>14</v>
      </c>
      <c r="B19" s="941" t="s">
        <v>1964</v>
      </c>
      <c r="C19" s="886">
        <v>5</v>
      </c>
      <c r="D19" s="886" t="s">
        <v>1685</v>
      </c>
      <c r="E19" s="886" t="s">
        <v>1686</v>
      </c>
      <c r="F19" s="919">
        <v>8.43</v>
      </c>
      <c r="G19" s="886" t="s">
        <v>1698</v>
      </c>
      <c r="H19" s="919">
        <v>8.9</v>
      </c>
      <c r="I19" s="919">
        <v>3000</v>
      </c>
      <c r="J19" s="945">
        <v>55</v>
      </c>
      <c r="K19" s="886" t="s">
        <v>2081</v>
      </c>
      <c r="L19" s="886">
        <v>10</v>
      </c>
      <c r="M19" s="886" t="s">
        <v>2082</v>
      </c>
      <c r="N19" s="886" t="s">
        <v>2105</v>
      </c>
      <c r="O19" s="919">
        <v>5.63</v>
      </c>
      <c r="P19" s="886" t="s">
        <v>2093</v>
      </c>
      <c r="Q19" s="919">
        <v>5.77</v>
      </c>
      <c r="R19" s="919">
        <v>4500</v>
      </c>
      <c r="S19" s="785">
        <v>96</v>
      </c>
      <c r="T19" s="886" t="s">
        <v>1799</v>
      </c>
      <c r="U19" s="886">
        <v>15</v>
      </c>
      <c r="V19" s="886" t="s">
        <v>726</v>
      </c>
      <c r="W19" s="886" t="s">
        <v>727</v>
      </c>
      <c r="X19" s="919">
        <v>8.92</v>
      </c>
      <c r="Y19" s="886" t="s">
        <v>305</v>
      </c>
      <c r="Z19" s="919">
        <v>8.92</v>
      </c>
      <c r="AA19" s="919">
        <v>140</v>
      </c>
      <c r="AB19" s="785">
        <v>137</v>
      </c>
      <c r="AC19" s="886" t="s">
        <v>1800</v>
      </c>
      <c r="AD19" s="886">
        <v>15</v>
      </c>
      <c r="AE19" s="886" t="s">
        <v>1145</v>
      </c>
      <c r="AF19" s="886" t="s">
        <v>1149</v>
      </c>
      <c r="AG19" s="919">
        <v>11.97</v>
      </c>
      <c r="AH19" s="886" t="s">
        <v>305</v>
      </c>
      <c r="AI19" s="919">
        <v>11.97</v>
      </c>
      <c r="AJ19" s="919">
        <v>400</v>
      </c>
      <c r="AK19" s="785">
        <v>178</v>
      </c>
      <c r="AL19" s="886" t="s">
        <v>2059</v>
      </c>
      <c r="AM19" s="886">
        <v>20</v>
      </c>
      <c r="AN19" s="886" t="s">
        <v>12</v>
      </c>
      <c r="AO19" s="886" t="s">
        <v>13</v>
      </c>
      <c r="AP19" s="919">
        <v>8.9700000000000006</v>
      </c>
      <c r="AQ19" s="886" t="s">
        <v>305</v>
      </c>
      <c r="AR19" s="919">
        <v>8.9700000000000006</v>
      </c>
      <c r="AS19" s="782">
        <v>125</v>
      </c>
      <c r="AT19" s="785">
        <v>219</v>
      </c>
      <c r="AU19" s="886" t="s">
        <v>2060</v>
      </c>
      <c r="AV19" s="886">
        <v>20</v>
      </c>
      <c r="AW19" s="886" t="s">
        <v>2061</v>
      </c>
      <c r="AX19" s="886" t="s">
        <v>2062</v>
      </c>
      <c r="AY19" s="919">
        <v>12.479999999999999</v>
      </c>
      <c r="AZ19" s="886" t="s">
        <v>305</v>
      </c>
      <c r="BA19" s="919">
        <v>12.479999999999999</v>
      </c>
      <c r="BB19" s="919">
        <v>100</v>
      </c>
      <c r="BL19" s="237"/>
      <c r="BS19" s="1211"/>
      <c r="BT19" s="847"/>
    </row>
    <row r="20" spans="1:72" s="278" customFormat="1" ht="13.35" customHeight="1">
      <c r="A20" s="280">
        <v>15</v>
      </c>
      <c r="B20" s="939" t="s">
        <v>1967</v>
      </c>
      <c r="C20" s="859">
        <v>5</v>
      </c>
      <c r="D20" s="859" t="s">
        <v>1702</v>
      </c>
      <c r="E20" s="859" t="s">
        <v>1703</v>
      </c>
      <c r="F20" s="703">
        <v>8.9700000000000006</v>
      </c>
      <c r="G20" s="859" t="s">
        <v>1968</v>
      </c>
      <c r="H20" s="703">
        <v>8.1199999999999992</v>
      </c>
      <c r="I20" s="703">
        <v>4500</v>
      </c>
      <c r="J20" s="237">
        <v>56</v>
      </c>
      <c r="K20" s="859" t="s">
        <v>2112</v>
      </c>
      <c r="L20" s="859">
        <v>10</v>
      </c>
      <c r="M20" s="859" t="s">
        <v>2113</v>
      </c>
      <c r="N20" s="859" t="s">
        <v>2114</v>
      </c>
      <c r="O20" s="703">
        <v>6.01</v>
      </c>
      <c r="P20" s="859" t="s">
        <v>2221</v>
      </c>
      <c r="Q20" s="703">
        <v>5.99</v>
      </c>
      <c r="R20" s="703">
        <v>4500</v>
      </c>
      <c r="S20" s="237">
        <v>97</v>
      </c>
      <c r="T20" s="859" t="s">
        <v>1808</v>
      </c>
      <c r="U20" s="859">
        <v>15</v>
      </c>
      <c r="V20" s="859" t="s">
        <v>728</v>
      </c>
      <c r="W20" s="859" t="s">
        <v>729</v>
      </c>
      <c r="X20" s="703">
        <v>8.9499999999999993</v>
      </c>
      <c r="Y20" s="859" t="s">
        <v>305</v>
      </c>
      <c r="Z20" s="703">
        <v>8.9499999999999993</v>
      </c>
      <c r="AA20" s="703">
        <v>150</v>
      </c>
      <c r="AB20" s="237">
        <v>138</v>
      </c>
      <c r="AC20" s="859" t="s">
        <v>1809</v>
      </c>
      <c r="AD20" s="859">
        <v>15</v>
      </c>
      <c r="AE20" s="859" t="s">
        <v>1148</v>
      </c>
      <c r="AF20" s="859" t="s">
        <v>1150</v>
      </c>
      <c r="AG20" s="703">
        <v>11.97</v>
      </c>
      <c r="AH20" s="859" t="s">
        <v>305</v>
      </c>
      <c r="AI20" s="703">
        <v>11.97</v>
      </c>
      <c r="AJ20" s="850">
        <v>400</v>
      </c>
      <c r="AK20" s="237">
        <v>179</v>
      </c>
      <c r="AL20" s="859" t="s">
        <v>2068</v>
      </c>
      <c r="AM20" s="859">
        <v>20</v>
      </c>
      <c r="AN20" s="703" t="s">
        <v>14</v>
      </c>
      <c r="AO20" s="859" t="s">
        <v>15</v>
      </c>
      <c r="AP20" s="703">
        <v>8.59</v>
      </c>
      <c r="AQ20" s="859" t="s">
        <v>305</v>
      </c>
      <c r="AR20" s="703">
        <v>8.59</v>
      </c>
      <c r="AS20" s="850">
        <v>3</v>
      </c>
      <c r="AT20" s="255">
        <v>220</v>
      </c>
      <c r="AU20" s="859" t="s">
        <v>2069</v>
      </c>
      <c r="AV20" s="859">
        <v>20</v>
      </c>
      <c r="AW20" s="859" t="s">
        <v>2070</v>
      </c>
      <c r="AX20" s="859" t="s">
        <v>2071</v>
      </c>
      <c r="AY20" s="703">
        <v>12.479999999999999</v>
      </c>
      <c r="AZ20" s="859" t="s">
        <v>305</v>
      </c>
      <c r="BA20" s="703">
        <v>12.479999999999999</v>
      </c>
      <c r="BB20" s="703">
        <v>100</v>
      </c>
      <c r="BI20" s="1257"/>
      <c r="BL20" s="237"/>
      <c r="BS20" s="281"/>
      <c r="BT20" s="847"/>
    </row>
    <row r="21" spans="1:72" s="278" customFormat="1" ht="13.35" customHeight="1">
      <c r="A21" s="322">
        <v>16</v>
      </c>
      <c r="B21" s="941" t="s">
        <v>1975</v>
      </c>
      <c r="C21" s="886">
        <v>5</v>
      </c>
      <c r="D21" s="886" t="s">
        <v>1711</v>
      </c>
      <c r="E21" s="886" t="s">
        <v>1712</v>
      </c>
      <c r="F21" s="919">
        <v>8.86</v>
      </c>
      <c r="G21" s="886" t="s">
        <v>2076</v>
      </c>
      <c r="H21" s="919">
        <v>5.69</v>
      </c>
      <c r="I21" s="919">
        <v>4000</v>
      </c>
      <c r="J21" s="785">
        <v>57</v>
      </c>
      <c r="K21" s="886" t="s">
        <v>2134</v>
      </c>
      <c r="L21" s="886">
        <v>10</v>
      </c>
      <c r="M21" s="886" t="s">
        <v>2135</v>
      </c>
      <c r="N21" s="886" t="s">
        <v>2136</v>
      </c>
      <c r="O21" s="919">
        <v>5.8</v>
      </c>
      <c r="P21" s="886" t="s">
        <v>2156</v>
      </c>
      <c r="Q21" s="919">
        <v>5.38</v>
      </c>
      <c r="R21" s="919">
        <v>4500</v>
      </c>
      <c r="S21" s="785">
        <v>98</v>
      </c>
      <c r="T21" s="886" t="s">
        <v>1815</v>
      </c>
      <c r="U21" s="886">
        <v>15</v>
      </c>
      <c r="V21" s="886" t="s">
        <v>730</v>
      </c>
      <c r="W21" s="886" t="s">
        <v>731</v>
      </c>
      <c r="X21" s="919">
        <v>9.0500000000000007</v>
      </c>
      <c r="Y21" s="886" t="s">
        <v>305</v>
      </c>
      <c r="Z21" s="919">
        <v>9.0500000000000007</v>
      </c>
      <c r="AA21" s="919">
        <v>150</v>
      </c>
      <c r="AB21" s="785">
        <v>139</v>
      </c>
      <c r="AC21" s="886" t="s">
        <v>1816</v>
      </c>
      <c r="AD21" s="886">
        <v>15</v>
      </c>
      <c r="AE21" s="886" t="s">
        <v>1164</v>
      </c>
      <c r="AF21" s="886" t="s">
        <v>1165</v>
      </c>
      <c r="AG21" s="919">
        <v>11.87</v>
      </c>
      <c r="AH21" s="886" t="s">
        <v>305</v>
      </c>
      <c r="AI21" s="919">
        <v>11.87</v>
      </c>
      <c r="AJ21" s="782">
        <v>250</v>
      </c>
      <c r="AK21" s="785">
        <v>180</v>
      </c>
      <c r="AL21" s="886" t="s">
        <v>1794</v>
      </c>
      <c r="AM21" s="886">
        <v>20</v>
      </c>
      <c r="AN21" s="886" t="s">
        <v>377</v>
      </c>
      <c r="AO21" s="886" t="s">
        <v>378</v>
      </c>
      <c r="AP21" s="919">
        <v>9.1</v>
      </c>
      <c r="AQ21" s="886" t="s">
        <v>305</v>
      </c>
      <c r="AR21" s="919">
        <v>9.1</v>
      </c>
      <c r="AS21" s="782">
        <v>125</v>
      </c>
      <c r="AT21" s="945">
        <v>221</v>
      </c>
      <c r="AU21" s="886" t="s">
        <v>1795</v>
      </c>
      <c r="AV21" s="886">
        <v>20</v>
      </c>
      <c r="AW21" s="886" t="s">
        <v>1796</v>
      </c>
      <c r="AX21" s="886" t="s">
        <v>1797</v>
      </c>
      <c r="AY21" s="919">
        <v>12.47</v>
      </c>
      <c r="AZ21" s="886" t="s">
        <v>305</v>
      </c>
      <c r="BA21" s="919">
        <v>12.47</v>
      </c>
      <c r="BB21" s="919">
        <v>100</v>
      </c>
      <c r="BL21" s="237"/>
    </row>
    <row r="22" spans="1:72" s="278" customFormat="1" ht="13.35" customHeight="1">
      <c r="A22" s="280">
        <v>17</v>
      </c>
      <c r="B22" s="939" t="s">
        <v>1982</v>
      </c>
      <c r="C22" s="859">
        <v>5</v>
      </c>
      <c r="D22" s="859" t="s">
        <v>1983</v>
      </c>
      <c r="E22" s="859" t="s">
        <v>1984</v>
      </c>
      <c r="F22" s="703">
        <v>8.1199999999999992</v>
      </c>
      <c r="G22" s="859" t="s">
        <v>305</v>
      </c>
      <c r="H22" s="703">
        <v>8.1199999999999992</v>
      </c>
      <c r="I22" s="703">
        <v>4500</v>
      </c>
      <c r="J22" s="237">
        <v>58</v>
      </c>
      <c r="K22" s="859" t="s">
        <v>2222</v>
      </c>
      <c r="L22" s="859">
        <v>10</v>
      </c>
      <c r="M22" s="859" t="s">
        <v>2223</v>
      </c>
      <c r="N22" s="859" t="s">
        <v>2224</v>
      </c>
      <c r="O22" s="703">
        <v>5.4</v>
      </c>
      <c r="P22" s="859" t="s">
        <v>2227</v>
      </c>
      <c r="Q22" s="703">
        <v>6.33</v>
      </c>
      <c r="R22" s="703">
        <v>4000</v>
      </c>
      <c r="S22" s="237">
        <v>99</v>
      </c>
      <c r="T22" s="859" t="s">
        <v>1823</v>
      </c>
      <c r="U22" s="859">
        <v>15</v>
      </c>
      <c r="V22" s="859" t="s">
        <v>732</v>
      </c>
      <c r="W22" s="859" t="s">
        <v>733</v>
      </c>
      <c r="X22" s="703">
        <v>9.1199999999999992</v>
      </c>
      <c r="Y22" s="859" t="s">
        <v>305</v>
      </c>
      <c r="Z22" s="703">
        <v>9.1199999999999992</v>
      </c>
      <c r="AA22" s="703">
        <v>150</v>
      </c>
      <c r="AB22" s="237">
        <v>140</v>
      </c>
      <c r="AC22" s="859" t="s">
        <v>1824</v>
      </c>
      <c r="AD22" s="859">
        <v>15</v>
      </c>
      <c r="AE22" s="859" t="s">
        <v>1166</v>
      </c>
      <c r="AF22" s="859" t="s">
        <v>1167</v>
      </c>
      <c r="AG22" s="703">
        <v>11.59</v>
      </c>
      <c r="AH22" s="859" t="s">
        <v>305</v>
      </c>
      <c r="AI22" s="703">
        <v>11.59</v>
      </c>
      <c r="AJ22" s="850">
        <v>250</v>
      </c>
      <c r="AK22" s="237">
        <v>181</v>
      </c>
      <c r="AL22" s="859" t="s">
        <v>1801</v>
      </c>
      <c r="AM22" s="859">
        <v>20</v>
      </c>
      <c r="AN22" s="859" t="s">
        <v>379</v>
      </c>
      <c r="AO22" s="859" t="s">
        <v>380</v>
      </c>
      <c r="AP22" s="703">
        <v>9.1</v>
      </c>
      <c r="AQ22" s="859" t="s">
        <v>305</v>
      </c>
      <c r="AR22" s="703">
        <v>9.1</v>
      </c>
      <c r="AS22" s="703">
        <v>150</v>
      </c>
      <c r="AT22" s="255">
        <v>222</v>
      </c>
      <c r="AU22" s="859" t="s">
        <v>1802</v>
      </c>
      <c r="AV22" s="859">
        <v>20</v>
      </c>
      <c r="AW22" s="859" t="s">
        <v>1803</v>
      </c>
      <c r="AX22" s="859" t="s">
        <v>1804</v>
      </c>
      <c r="AY22" s="703">
        <v>12.479999999999999</v>
      </c>
      <c r="AZ22" s="859" t="s">
        <v>305</v>
      </c>
      <c r="BA22" s="703">
        <v>12.479999999999999</v>
      </c>
      <c r="BB22" s="703">
        <v>100</v>
      </c>
      <c r="BL22" s="237"/>
    </row>
    <row r="23" spans="1:72" s="278" customFormat="1" ht="13.35" customHeight="1">
      <c r="A23" s="322">
        <v>18</v>
      </c>
      <c r="B23" s="941" t="s">
        <v>1992</v>
      </c>
      <c r="C23" s="941">
        <v>5</v>
      </c>
      <c r="D23" s="941" t="s">
        <v>1750</v>
      </c>
      <c r="E23" s="1063" t="s">
        <v>1751</v>
      </c>
      <c r="F23" s="782">
        <v>8.0500000000000007</v>
      </c>
      <c r="G23" s="886" t="s">
        <v>1321</v>
      </c>
      <c r="H23" s="782">
        <v>4.05</v>
      </c>
      <c r="I23" s="782">
        <v>4500</v>
      </c>
      <c r="J23" s="785">
        <v>59</v>
      </c>
      <c r="K23" s="886" t="s">
        <v>2251</v>
      </c>
      <c r="L23" s="886">
        <v>10</v>
      </c>
      <c r="M23" s="886" t="s">
        <v>2252</v>
      </c>
      <c r="N23" s="886" t="s">
        <v>2253</v>
      </c>
      <c r="O23" s="919">
        <v>6.8</v>
      </c>
      <c r="P23" s="886" t="s">
        <v>2300</v>
      </c>
      <c r="Q23" s="919">
        <v>7.4</v>
      </c>
      <c r="R23" s="919">
        <v>4500</v>
      </c>
      <c r="S23" s="785">
        <v>100</v>
      </c>
      <c r="T23" s="886" t="s">
        <v>1831</v>
      </c>
      <c r="U23" s="886">
        <v>15</v>
      </c>
      <c r="V23" s="886" t="s">
        <v>734</v>
      </c>
      <c r="W23" s="886" t="s">
        <v>735</v>
      </c>
      <c r="X23" s="919">
        <v>9.1199999999999992</v>
      </c>
      <c r="Y23" s="886" t="s">
        <v>305</v>
      </c>
      <c r="Z23" s="919">
        <v>9.1199999999999992</v>
      </c>
      <c r="AA23" s="919">
        <v>200</v>
      </c>
      <c r="AB23" s="785">
        <v>141</v>
      </c>
      <c r="AC23" s="886" t="s">
        <v>1832</v>
      </c>
      <c r="AD23" s="886">
        <v>15</v>
      </c>
      <c r="AE23" s="886" t="s">
        <v>1170</v>
      </c>
      <c r="AF23" s="886" t="s">
        <v>1171</v>
      </c>
      <c r="AG23" s="919">
        <v>11.5</v>
      </c>
      <c r="AH23" s="886" t="s">
        <v>305</v>
      </c>
      <c r="AI23" s="919">
        <v>11.5</v>
      </c>
      <c r="AJ23" s="782">
        <v>250</v>
      </c>
      <c r="AK23" s="785">
        <v>182</v>
      </c>
      <c r="AL23" s="886" t="s">
        <v>1810</v>
      </c>
      <c r="AM23" s="886">
        <v>20</v>
      </c>
      <c r="AN23" s="886" t="s">
        <v>381</v>
      </c>
      <c r="AO23" s="886" t="s">
        <v>382</v>
      </c>
      <c r="AP23" s="919">
        <v>9.11</v>
      </c>
      <c r="AQ23" s="886" t="s">
        <v>305</v>
      </c>
      <c r="AR23" s="919">
        <v>9.11</v>
      </c>
      <c r="AS23" s="919">
        <v>100</v>
      </c>
      <c r="AT23" s="785">
        <v>223</v>
      </c>
      <c r="AU23" s="886" t="s">
        <v>1811</v>
      </c>
      <c r="AV23" s="886">
        <v>20</v>
      </c>
      <c r="AW23" s="886" t="s">
        <v>1812</v>
      </c>
      <c r="AX23" s="886" t="s">
        <v>1813</v>
      </c>
      <c r="AY23" s="919">
        <v>12.479999999999999</v>
      </c>
      <c r="AZ23" s="886" t="s">
        <v>305</v>
      </c>
      <c r="BA23" s="919">
        <v>12.479999999999999</v>
      </c>
      <c r="BB23" s="919">
        <v>150</v>
      </c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9" t="s">
        <v>2003</v>
      </c>
      <c r="C24" s="859">
        <v>5</v>
      </c>
      <c r="D24" s="859" t="s">
        <v>1763</v>
      </c>
      <c r="E24" s="703" t="s">
        <v>1764</v>
      </c>
      <c r="F24" s="703">
        <v>7.19</v>
      </c>
      <c r="G24" s="859" t="s">
        <v>1296</v>
      </c>
      <c r="H24" s="703">
        <v>6.74</v>
      </c>
      <c r="I24" s="703">
        <v>4500</v>
      </c>
      <c r="J24" s="237">
        <v>60</v>
      </c>
      <c r="K24" s="859" t="s">
        <v>2383</v>
      </c>
      <c r="L24" s="859">
        <v>10</v>
      </c>
      <c r="M24" s="859" t="s">
        <v>2384</v>
      </c>
      <c r="N24" s="859" t="s">
        <v>2385</v>
      </c>
      <c r="O24" s="703">
        <v>7.1</v>
      </c>
      <c r="P24" s="859" t="s">
        <v>2426</v>
      </c>
      <c r="Q24" s="703">
        <v>7.75</v>
      </c>
      <c r="R24" s="703">
        <v>4500</v>
      </c>
      <c r="S24" s="237">
        <v>101</v>
      </c>
      <c r="T24" s="859" t="s">
        <v>1837</v>
      </c>
      <c r="U24" s="859">
        <v>15</v>
      </c>
      <c r="V24" s="859" t="s">
        <v>736</v>
      </c>
      <c r="W24" s="859" t="s">
        <v>737</v>
      </c>
      <c r="X24" s="703">
        <v>9.1999999999999993</v>
      </c>
      <c r="Y24" s="859" t="s">
        <v>305</v>
      </c>
      <c r="Z24" s="703">
        <v>9.1999999999999993</v>
      </c>
      <c r="AA24" s="703">
        <v>200</v>
      </c>
      <c r="AB24" s="237">
        <v>142</v>
      </c>
      <c r="AC24" s="859" t="s">
        <v>1838</v>
      </c>
      <c r="AD24" s="859">
        <v>15</v>
      </c>
      <c r="AE24" s="859" t="s">
        <v>1180</v>
      </c>
      <c r="AF24" s="859" t="s">
        <v>1181</v>
      </c>
      <c r="AG24" s="703">
        <v>11.42</v>
      </c>
      <c r="AH24" s="859" t="s">
        <v>305</v>
      </c>
      <c r="AI24" s="703">
        <v>11.42</v>
      </c>
      <c r="AJ24" s="703">
        <v>250</v>
      </c>
      <c r="AK24" s="1028">
        <v>183</v>
      </c>
      <c r="AL24" s="859" t="s">
        <v>1817</v>
      </c>
      <c r="AM24" s="859">
        <v>20</v>
      </c>
      <c r="AN24" s="859" t="s">
        <v>383</v>
      </c>
      <c r="AO24" s="859" t="s">
        <v>384</v>
      </c>
      <c r="AP24" s="703">
        <v>9.15</v>
      </c>
      <c r="AQ24" s="859" t="s">
        <v>305</v>
      </c>
      <c r="AR24" s="703">
        <v>9.15</v>
      </c>
      <c r="AS24" s="703">
        <v>100</v>
      </c>
      <c r="AT24" s="237">
        <v>224</v>
      </c>
      <c r="AU24" s="859" t="s">
        <v>1818</v>
      </c>
      <c r="AV24" s="859">
        <v>20</v>
      </c>
      <c r="AW24" s="859" t="s">
        <v>1819</v>
      </c>
      <c r="AX24" s="859" t="s">
        <v>1820</v>
      </c>
      <c r="AY24" s="703">
        <v>12.479999999999999</v>
      </c>
      <c r="AZ24" s="859" t="s">
        <v>305</v>
      </c>
      <c r="BA24" s="703">
        <v>12.479999999999999</v>
      </c>
      <c r="BB24" s="703">
        <v>150</v>
      </c>
      <c r="BC24" s="280"/>
      <c r="BD24" s="175"/>
      <c r="BE24" s="175"/>
      <c r="BF24" s="175"/>
      <c r="BG24" s="175"/>
      <c r="BH24" s="175"/>
      <c r="BI24" s="175"/>
      <c r="BJ24" s="175"/>
      <c r="BK24" s="269"/>
      <c r="BL24" s="237"/>
      <c r="BM24" s="175"/>
      <c r="BN24" s="175"/>
    </row>
    <row r="25" spans="1:72" s="175" customFormat="1" ht="13.35" customHeight="1">
      <c r="A25" s="326">
        <v>20</v>
      </c>
      <c r="B25" s="941" t="s">
        <v>2077</v>
      </c>
      <c r="C25" s="886">
        <v>5</v>
      </c>
      <c r="D25" s="886" t="s">
        <v>2078</v>
      </c>
      <c r="E25" s="919" t="s">
        <v>2079</v>
      </c>
      <c r="F25" s="919">
        <v>4.3600000000000003</v>
      </c>
      <c r="G25" s="886" t="s">
        <v>1320</v>
      </c>
      <c r="H25" s="919">
        <v>5</v>
      </c>
      <c r="I25" s="919">
        <v>4000</v>
      </c>
      <c r="J25" s="785">
        <v>61</v>
      </c>
      <c r="K25" s="886" t="s">
        <v>2435</v>
      </c>
      <c r="L25" s="886">
        <v>10</v>
      </c>
      <c r="M25" s="919" t="s">
        <v>2436</v>
      </c>
      <c r="N25" s="919" t="s">
        <v>2437</v>
      </c>
      <c r="O25" s="919">
        <v>8</v>
      </c>
      <c r="P25" s="886" t="s">
        <v>2550</v>
      </c>
      <c r="Q25" s="919">
        <v>8.17</v>
      </c>
      <c r="R25" s="919">
        <v>4300</v>
      </c>
      <c r="S25" s="785">
        <v>102</v>
      </c>
      <c r="T25" s="886" t="s">
        <v>1845</v>
      </c>
      <c r="U25" s="886">
        <v>15</v>
      </c>
      <c r="V25" s="886" t="s">
        <v>757</v>
      </c>
      <c r="W25" s="886" t="s">
        <v>758</v>
      </c>
      <c r="X25" s="919">
        <v>9.3000000000000007</v>
      </c>
      <c r="Y25" s="886" t="s">
        <v>305</v>
      </c>
      <c r="Z25" s="919">
        <v>9.3000000000000007</v>
      </c>
      <c r="AA25" s="919">
        <v>250</v>
      </c>
      <c r="AB25" s="1031">
        <v>143</v>
      </c>
      <c r="AC25" s="886" t="s">
        <v>1846</v>
      </c>
      <c r="AD25" s="886">
        <v>15</v>
      </c>
      <c r="AE25" s="886" t="s">
        <v>1182</v>
      </c>
      <c r="AF25" s="886" t="s">
        <v>1183</v>
      </c>
      <c r="AG25" s="919">
        <v>11.469999999999999</v>
      </c>
      <c r="AH25" s="886" t="s">
        <v>1847</v>
      </c>
      <c r="AI25" s="919">
        <v>11.4</v>
      </c>
      <c r="AJ25" s="919">
        <v>680</v>
      </c>
      <c r="AK25" s="785">
        <v>184</v>
      </c>
      <c r="AL25" s="886" t="s">
        <v>1825</v>
      </c>
      <c r="AM25" s="886">
        <v>20</v>
      </c>
      <c r="AN25" s="919" t="s">
        <v>1826</v>
      </c>
      <c r="AO25" s="886" t="s">
        <v>1827</v>
      </c>
      <c r="AP25" s="919">
        <v>9.17</v>
      </c>
      <c r="AQ25" s="886" t="s">
        <v>305</v>
      </c>
      <c r="AR25" s="919">
        <v>9.17</v>
      </c>
      <c r="AS25" s="919">
        <v>80</v>
      </c>
      <c r="AT25" s="785">
        <v>225</v>
      </c>
      <c r="AU25" s="886" t="s">
        <v>1828</v>
      </c>
      <c r="AV25" s="886">
        <v>20</v>
      </c>
      <c r="AW25" s="886" t="s">
        <v>1829</v>
      </c>
      <c r="AX25" s="886" t="s">
        <v>1830</v>
      </c>
      <c r="AY25" s="919">
        <v>12.479999999999999</v>
      </c>
      <c r="AZ25" s="886" t="s">
        <v>305</v>
      </c>
      <c r="BA25" s="919">
        <v>12.479999999999999</v>
      </c>
      <c r="BB25" s="919">
        <v>150</v>
      </c>
      <c r="BC25" s="381"/>
      <c r="BD25" s="859"/>
      <c r="BE25" s="703"/>
      <c r="BF25" s="859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7">
        <v>21</v>
      </c>
      <c r="B26" s="939" t="s">
        <v>2091</v>
      </c>
      <c r="C26" s="859">
        <v>5</v>
      </c>
      <c r="D26" s="859" t="s">
        <v>1303</v>
      </c>
      <c r="E26" s="703" t="s">
        <v>2092</v>
      </c>
      <c r="F26" s="703">
        <v>4.6399999999999997</v>
      </c>
      <c r="G26" s="859" t="s">
        <v>1322</v>
      </c>
      <c r="H26" s="703">
        <v>4.25</v>
      </c>
      <c r="I26" s="703">
        <v>4000</v>
      </c>
      <c r="J26" s="237">
        <v>62</v>
      </c>
      <c r="K26" s="859" t="s">
        <v>2465</v>
      </c>
      <c r="L26" s="859">
        <v>10</v>
      </c>
      <c r="M26" s="703" t="s">
        <v>2466</v>
      </c>
      <c r="N26" s="703" t="s">
        <v>2467</v>
      </c>
      <c r="O26" s="703">
        <v>8.1</v>
      </c>
      <c r="P26" s="859" t="s">
        <v>2483</v>
      </c>
      <c r="Q26" s="703">
        <v>7.89</v>
      </c>
      <c r="R26" s="703">
        <v>4500</v>
      </c>
      <c r="S26" s="1028">
        <v>103</v>
      </c>
      <c r="T26" s="859" t="s">
        <v>1850</v>
      </c>
      <c r="U26" s="859">
        <v>15</v>
      </c>
      <c r="V26" s="859" t="s">
        <v>1070</v>
      </c>
      <c r="W26" s="859" t="s">
        <v>1071</v>
      </c>
      <c r="X26" s="703">
        <v>9.35</v>
      </c>
      <c r="Y26" s="859" t="s">
        <v>305</v>
      </c>
      <c r="Z26" s="703">
        <v>9.35</v>
      </c>
      <c r="AA26" s="703">
        <v>250</v>
      </c>
      <c r="AB26" s="237">
        <v>144</v>
      </c>
      <c r="AC26" s="859" t="s">
        <v>1851</v>
      </c>
      <c r="AD26" s="859">
        <v>15</v>
      </c>
      <c r="AE26" s="859" t="s">
        <v>1297</v>
      </c>
      <c r="AF26" s="859" t="s">
        <v>741</v>
      </c>
      <c r="AG26" s="703">
        <v>10.059999999999999</v>
      </c>
      <c r="AH26" s="859" t="s">
        <v>1717</v>
      </c>
      <c r="AI26" s="703">
        <v>9.09</v>
      </c>
      <c r="AJ26" s="703">
        <v>3000</v>
      </c>
      <c r="AK26" s="237">
        <v>185</v>
      </c>
      <c r="AL26" s="859" t="s">
        <v>1833</v>
      </c>
      <c r="AM26" s="859">
        <v>20</v>
      </c>
      <c r="AN26" s="703" t="s">
        <v>738</v>
      </c>
      <c r="AO26" s="859" t="s">
        <v>739</v>
      </c>
      <c r="AP26" s="703">
        <v>9.1999999999999993</v>
      </c>
      <c r="AQ26" s="859" t="s">
        <v>305</v>
      </c>
      <c r="AR26" s="703">
        <v>9.1999999999999993</v>
      </c>
      <c r="AS26" s="703">
        <v>75</v>
      </c>
      <c r="AT26" s="237">
        <v>226</v>
      </c>
      <c r="AU26" s="859" t="s">
        <v>1834</v>
      </c>
      <c r="AV26" s="859">
        <v>20</v>
      </c>
      <c r="AW26" s="859" t="s">
        <v>1835</v>
      </c>
      <c r="AX26" s="859" t="s">
        <v>1836</v>
      </c>
      <c r="AY26" s="703">
        <v>12.479999999999999</v>
      </c>
      <c r="AZ26" s="859" t="s">
        <v>305</v>
      </c>
      <c r="BA26" s="703">
        <v>12.479999999999999</v>
      </c>
      <c r="BB26" s="703">
        <v>150</v>
      </c>
      <c r="BC26" s="381"/>
      <c r="BD26" s="859"/>
      <c r="BE26" s="859"/>
      <c r="BF26" s="859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2">
        <v>22</v>
      </c>
      <c r="B27" s="941" t="s">
        <v>2121</v>
      </c>
      <c r="C27" s="886">
        <v>5</v>
      </c>
      <c r="D27" s="886" t="s">
        <v>2122</v>
      </c>
      <c r="E27" s="886" t="s">
        <v>2123</v>
      </c>
      <c r="F27" s="919">
        <v>4.25</v>
      </c>
      <c r="G27" s="886" t="s">
        <v>2220</v>
      </c>
      <c r="H27" s="919">
        <v>4.1399999999999997</v>
      </c>
      <c r="I27" s="919">
        <v>4500</v>
      </c>
      <c r="J27" s="1031">
        <v>63</v>
      </c>
      <c r="K27" s="886" t="s">
        <v>2568</v>
      </c>
      <c r="L27" s="886">
        <v>10</v>
      </c>
      <c r="M27" s="886" t="s">
        <v>2569</v>
      </c>
      <c r="N27" s="886" t="s">
        <v>2570</v>
      </c>
      <c r="O27" s="919">
        <v>8.1</v>
      </c>
      <c r="P27" s="886" t="s">
        <v>2637</v>
      </c>
      <c r="Q27" s="919">
        <v>8.26</v>
      </c>
      <c r="R27" s="919">
        <v>4000</v>
      </c>
      <c r="S27" s="785">
        <v>104</v>
      </c>
      <c r="T27" s="886" t="s">
        <v>1854</v>
      </c>
      <c r="U27" s="886">
        <v>15</v>
      </c>
      <c r="V27" s="886" t="s">
        <v>1072</v>
      </c>
      <c r="W27" s="886" t="s">
        <v>1073</v>
      </c>
      <c r="X27" s="919">
        <v>9.35</v>
      </c>
      <c r="Y27" s="886" t="s">
        <v>305</v>
      </c>
      <c r="Z27" s="919">
        <v>9.35</v>
      </c>
      <c r="AA27" s="919">
        <v>250</v>
      </c>
      <c r="AB27" s="785">
        <v>145</v>
      </c>
      <c r="AC27" s="886" t="s">
        <v>1855</v>
      </c>
      <c r="AD27" s="886">
        <v>15</v>
      </c>
      <c r="AE27" s="886" t="s">
        <v>1299</v>
      </c>
      <c r="AF27" s="886" t="s">
        <v>1300</v>
      </c>
      <c r="AG27" s="919">
        <v>8.44</v>
      </c>
      <c r="AH27" s="886" t="s">
        <v>1578</v>
      </c>
      <c r="AI27" s="919">
        <v>7.99</v>
      </c>
      <c r="AJ27" s="919">
        <v>3000</v>
      </c>
      <c r="AK27" s="785">
        <v>186</v>
      </c>
      <c r="AL27" s="886" t="s">
        <v>1839</v>
      </c>
      <c r="AM27" s="886">
        <v>20</v>
      </c>
      <c r="AN27" s="919" t="s">
        <v>1840</v>
      </c>
      <c r="AO27" s="886" t="s">
        <v>1841</v>
      </c>
      <c r="AP27" s="919">
        <v>9.15</v>
      </c>
      <c r="AQ27" s="886" t="s">
        <v>305</v>
      </c>
      <c r="AR27" s="919">
        <v>9.15</v>
      </c>
      <c r="AS27" s="919">
        <v>75</v>
      </c>
      <c r="AT27" s="785">
        <v>227</v>
      </c>
      <c r="AU27" s="886" t="s">
        <v>1842</v>
      </c>
      <c r="AV27" s="886">
        <v>20</v>
      </c>
      <c r="AW27" s="886" t="s">
        <v>1843</v>
      </c>
      <c r="AX27" s="886" t="s">
        <v>1844</v>
      </c>
      <c r="AY27" s="919">
        <v>12.33</v>
      </c>
      <c r="AZ27" s="886" t="s">
        <v>305</v>
      </c>
      <c r="BA27" s="919">
        <v>12.33</v>
      </c>
      <c r="BB27" s="919">
        <v>150</v>
      </c>
      <c r="BC27" s="381"/>
      <c r="BD27" s="859"/>
      <c r="BE27" s="859"/>
      <c r="BF27" s="859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9" t="s">
        <v>2153</v>
      </c>
      <c r="C28" s="859">
        <v>5</v>
      </c>
      <c r="D28" s="859" t="s">
        <v>2154</v>
      </c>
      <c r="E28" s="859" t="s">
        <v>2155</v>
      </c>
      <c r="F28" s="703">
        <v>3.88</v>
      </c>
      <c r="G28" s="859" t="s">
        <v>2164</v>
      </c>
      <c r="H28" s="703">
        <v>3.9</v>
      </c>
      <c r="I28" s="703">
        <v>4500</v>
      </c>
      <c r="J28" s="237">
        <v>64</v>
      </c>
      <c r="K28" s="859" t="s">
        <v>2661</v>
      </c>
      <c r="L28" s="859">
        <v>10</v>
      </c>
      <c r="M28" s="859" t="s">
        <v>2662</v>
      </c>
      <c r="N28" s="859" t="s">
        <v>2663</v>
      </c>
      <c r="O28" s="703">
        <v>8.33</v>
      </c>
      <c r="P28" s="859" t="s">
        <v>305</v>
      </c>
      <c r="Q28" s="703">
        <v>8.33</v>
      </c>
      <c r="R28" s="703">
        <v>1000</v>
      </c>
      <c r="S28" s="237">
        <v>105</v>
      </c>
      <c r="T28" s="859" t="s">
        <v>1858</v>
      </c>
      <c r="U28" s="859">
        <v>15</v>
      </c>
      <c r="V28" s="859" t="s">
        <v>1074</v>
      </c>
      <c r="W28" s="859" t="s">
        <v>1075</v>
      </c>
      <c r="X28" s="703">
        <v>9.65</v>
      </c>
      <c r="Y28" s="859" t="s">
        <v>305</v>
      </c>
      <c r="Z28" s="703">
        <v>9.65</v>
      </c>
      <c r="AA28" s="703">
        <v>150</v>
      </c>
      <c r="AB28" s="237">
        <v>146</v>
      </c>
      <c r="AC28" s="859" t="s">
        <v>1859</v>
      </c>
      <c r="AD28" s="859">
        <v>15</v>
      </c>
      <c r="AE28" s="859" t="s">
        <v>1324</v>
      </c>
      <c r="AF28" s="859" t="s">
        <v>760</v>
      </c>
      <c r="AG28" s="703">
        <v>7.79</v>
      </c>
      <c r="AH28" s="859" t="s">
        <v>1582</v>
      </c>
      <c r="AI28" s="703">
        <v>7.52</v>
      </c>
      <c r="AJ28" s="703">
        <v>2850</v>
      </c>
      <c r="AK28" s="237">
        <v>187</v>
      </c>
      <c r="AL28" s="859" t="s">
        <v>1848</v>
      </c>
      <c r="AM28" s="859">
        <v>20</v>
      </c>
      <c r="AN28" s="859" t="s">
        <v>740</v>
      </c>
      <c r="AO28" s="859" t="s">
        <v>741</v>
      </c>
      <c r="AP28" s="703">
        <v>9.1999999999999993</v>
      </c>
      <c r="AQ28" s="859" t="s">
        <v>305</v>
      </c>
      <c r="AR28" s="703">
        <v>9.1999999999999993</v>
      </c>
      <c r="AS28" s="703">
        <v>125</v>
      </c>
      <c r="AT28" s="1028">
        <v>228</v>
      </c>
      <c r="AU28" s="859" t="s">
        <v>1849</v>
      </c>
      <c r="AV28" s="859">
        <v>20</v>
      </c>
      <c r="AW28" s="859" t="s">
        <v>1125</v>
      </c>
      <c r="AX28" s="859" t="s">
        <v>1127</v>
      </c>
      <c r="AY28" s="703">
        <v>12.33</v>
      </c>
      <c r="AZ28" s="859" t="s">
        <v>305</v>
      </c>
      <c r="BA28" s="703">
        <v>12.33</v>
      </c>
      <c r="BB28" s="703">
        <v>150</v>
      </c>
      <c r="BC28" s="381"/>
      <c r="BD28" s="859"/>
      <c r="BE28" s="859"/>
      <c r="BF28" s="859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3">
        <v>24</v>
      </c>
      <c r="B29" s="941" t="s">
        <v>2228</v>
      </c>
      <c r="C29" s="886">
        <v>5</v>
      </c>
      <c r="D29" s="886" t="s">
        <v>2229</v>
      </c>
      <c r="E29" s="886" t="s">
        <v>2230</v>
      </c>
      <c r="F29" s="919">
        <v>4.97</v>
      </c>
      <c r="G29" s="904" t="s">
        <v>2299</v>
      </c>
      <c r="H29" s="588">
        <v>6.5</v>
      </c>
      <c r="I29" s="588">
        <v>4063.34</v>
      </c>
      <c r="J29" s="785">
        <v>65</v>
      </c>
      <c r="K29" s="886" t="s">
        <v>1862</v>
      </c>
      <c r="L29" s="886">
        <v>15</v>
      </c>
      <c r="M29" s="886" t="s">
        <v>310</v>
      </c>
      <c r="N29" s="886" t="s">
        <v>318</v>
      </c>
      <c r="O29" s="919">
        <v>12.22</v>
      </c>
      <c r="P29" s="886" t="s">
        <v>305</v>
      </c>
      <c r="Q29" s="919">
        <v>12.22</v>
      </c>
      <c r="R29" s="919">
        <v>100</v>
      </c>
      <c r="S29" s="785">
        <v>106</v>
      </c>
      <c r="T29" s="886" t="s">
        <v>1863</v>
      </c>
      <c r="U29" s="886">
        <v>15</v>
      </c>
      <c r="V29" s="886" t="s">
        <v>1076</v>
      </c>
      <c r="W29" s="886" t="s">
        <v>1077</v>
      </c>
      <c r="X29" s="919">
        <v>10.3</v>
      </c>
      <c r="Y29" s="886" t="s">
        <v>305</v>
      </c>
      <c r="Z29" s="919">
        <v>10.3</v>
      </c>
      <c r="AA29" s="919">
        <v>150</v>
      </c>
      <c r="AB29" s="785">
        <v>147</v>
      </c>
      <c r="AC29" s="886" t="s">
        <v>1864</v>
      </c>
      <c r="AD29" s="886">
        <v>15</v>
      </c>
      <c r="AE29" s="886" t="s">
        <v>1624</v>
      </c>
      <c r="AF29" s="886" t="s">
        <v>1625</v>
      </c>
      <c r="AG29" s="919">
        <v>7.1999999999999993</v>
      </c>
      <c r="AH29" s="886" t="s">
        <v>1707</v>
      </c>
      <c r="AI29" s="919">
        <v>9.33</v>
      </c>
      <c r="AJ29" s="919">
        <v>4500</v>
      </c>
      <c r="AK29" s="785">
        <v>188</v>
      </c>
      <c r="AL29" s="886" t="s">
        <v>1852</v>
      </c>
      <c r="AM29" s="886">
        <v>20</v>
      </c>
      <c r="AN29" s="886" t="s">
        <v>742</v>
      </c>
      <c r="AO29" s="886" t="s">
        <v>743</v>
      </c>
      <c r="AP29" s="919">
        <v>9.23</v>
      </c>
      <c r="AQ29" s="886" t="s">
        <v>305</v>
      </c>
      <c r="AR29" s="919">
        <v>9.23</v>
      </c>
      <c r="AS29" s="919">
        <v>125</v>
      </c>
      <c r="AT29" s="785">
        <v>229</v>
      </c>
      <c r="AU29" s="886" t="s">
        <v>1853</v>
      </c>
      <c r="AV29" s="886">
        <v>20</v>
      </c>
      <c r="AW29" s="886" t="s">
        <v>1129</v>
      </c>
      <c r="AX29" s="886" t="s">
        <v>1130</v>
      </c>
      <c r="AY29" s="919">
        <v>12.26</v>
      </c>
      <c r="AZ29" s="886" t="s">
        <v>305</v>
      </c>
      <c r="BA29" s="919">
        <v>12.26</v>
      </c>
      <c r="BB29" s="919">
        <v>150</v>
      </c>
      <c r="BC29" s="381"/>
      <c r="BD29" s="859"/>
      <c r="BE29" s="859"/>
      <c r="BF29" s="859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9" t="s">
        <v>2292</v>
      </c>
      <c r="C30" s="859">
        <v>5</v>
      </c>
      <c r="D30" s="859" t="s">
        <v>1069</v>
      </c>
      <c r="E30" s="703" t="s">
        <v>2293</v>
      </c>
      <c r="F30" s="703">
        <v>6.5</v>
      </c>
      <c r="G30" s="859" t="s">
        <v>2396</v>
      </c>
      <c r="H30" s="703">
        <v>5.75</v>
      </c>
      <c r="I30" s="703">
        <v>4500</v>
      </c>
      <c r="J30" s="237">
        <v>66</v>
      </c>
      <c r="K30" s="859" t="s">
        <v>1867</v>
      </c>
      <c r="L30" s="859">
        <v>15</v>
      </c>
      <c r="M30" s="859" t="s">
        <v>311</v>
      </c>
      <c r="N30" s="859" t="s">
        <v>319</v>
      </c>
      <c r="O30" s="703">
        <v>12.22</v>
      </c>
      <c r="P30" s="859" t="s">
        <v>305</v>
      </c>
      <c r="Q30" s="703">
        <v>12.22</v>
      </c>
      <c r="R30" s="703">
        <v>100</v>
      </c>
      <c r="S30" s="237">
        <v>107</v>
      </c>
      <c r="T30" s="859" t="s">
        <v>1868</v>
      </c>
      <c r="U30" s="859">
        <v>15</v>
      </c>
      <c r="V30" s="859" t="s">
        <v>1869</v>
      </c>
      <c r="W30" s="859" t="s">
        <v>1870</v>
      </c>
      <c r="X30" s="703">
        <v>10.99</v>
      </c>
      <c r="Y30" s="859" t="s">
        <v>305</v>
      </c>
      <c r="Z30" s="703">
        <v>10.99</v>
      </c>
      <c r="AA30" s="703">
        <v>200</v>
      </c>
      <c r="AB30" s="237">
        <v>148</v>
      </c>
      <c r="AC30" s="703" t="s">
        <v>1871</v>
      </c>
      <c r="AD30" s="859">
        <v>15</v>
      </c>
      <c r="AE30" s="859" t="s">
        <v>1671</v>
      </c>
      <c r="AF30" s="859" t="s">
        <v>1672</v>
      </c>
      <c r="AG30" s="703">
        <v>7.55</v>
      </c>
      <c r="AH30" s="859" t="s">
        <v>2131</v>
      </c>
      <c r="AI30" s="703">
        <v>5.87</v>
      </c>
      <c r="AJ30" s="703">
        <v>4150</v>
      </c>
      <c r="AK30" s="237">
        <v>189</v>
      </c>
      <c r="AL30" s="859" t="s">
        <v>1856</v>
      </c>
      <c r="AM30" s="859">
        <v>20</v>
      </c>
      <c r="AN30" s="859" t="s">
        <v>744</v>
      </c>
      <c r="AO30" s="859" t="s">
        <v>745</v>
      </c>
      <c r="AP30" s="703">
        <v>9.25</v>
      </c>
      <c r="AQ30" s="859" t="s">
        <v>305</v>
      </c>
      <c r="AR30" s="703">
        <v>9.25</v>
      </c>
      <c r="AS30" s="703">
        <v>125</v>
      </c>
      <c r="AT30" s="237">
        <v>230</v>
      </c>
      <c r="AU30" s="859" t="s">
        <v>1857</v>
      </c>
      <c r="AV30" s="859">
        <v>20</v>
      </c>
      <c r="AW30" s="859" t="s">
        <v>1132</v>
      </c>
      <c r="AX30" s="859" t="s">
        <v>1133</v>
      </c>
      <c r="AY30" s="703">
        <v>12.24</v>
      </c>
      <c r="AZ30" s="859" t="s">
        <v>305</v>
      </c>
      <c r="BA30" s="703">
        <v>12.24</v>
      </c>
      <c r="BB30" s="703">
        <v>150</v>
      </c>
      <c r="BC30" s="381"/>
      <c r="BD30" s="859"/>
      <c r="BE30" s="859"/>
      <c r="BF30" s="859"/>
      <c r="BG30" s="381"/>
      <c r="BH30" s="381"/>
      <c r="BI30" s="381"/>
      <c r="BJ30" s="601"/>
      <c r="BK30" s="556"/>
      <c r="BL30" s="380"/>
      <c r="BM30" s="1029"/>
      <c r="BN30" s="1030"/>
      <c r="BO30" s="1029"/>
      <c r="BP30" s="379"/>
      <c r="BQ30" s="379"/>
    </row>
    <row r="31" spans="1:72" s="175" customFormat="1" ht="13.35" customHeight="1">
      <c r="A31" s="1033">
        <v>26</v>
      </c>
      <c r="B31" s="941" t="s">
        <v>2401</v>
      </c>
      <c r="C31" s="886">
        <v>5</v>
      </c>
      <c r="D31" s="886" t="s">
        <v>2402</v>
      </c>
      <c r="E31" s="886" t="s">
        <v>2403</v>
      </c>
      <c r="F31" s="919">
        <v>6.25</v>
      </c>
      <c r="G31" s="886" t="s">
        <v>2590</v>
      </c>
      <c r="H31" s="919">
        <v>7.72</v>
      </c>
      <c r="I31" s="919">
        <v>5699.41</v>
      </c>
      <c r="J31" s="785">
        <v>67</v>
      </c>
      <c r="K31" s="886" t="s">
        <v>1875</v>
      </c>
      <c r="L31" s="886">
        <v>15</v>
      </c>
      <c r="M31" s="886" t="s">
        <v>1876</v>
      </c>
      <c r="N31" s="886" t="s">
        <v>1877</v>
      </c>
      <c r="O31" s="919">
        <v>12.22</v>
      </c>
      <c r="P31" s="886" t="s">
        <v>305</v>
      </c>
      <c r="Q31" s="919">
        <v>12.22</v>
      </c>
      <c r="R31" s="919">
        <v>100</v>
      </c>
      <c r="S31" s="785">
        <v>108</v>
      </c>
      <c r="T31" s="886" t="s">
        <v>1878</v>
      </c>
      <c r="U31" s="886">
        <v>15</v>
      </c>
      <c r="V31" s="886" t="s">
        <v>1078</v>
      </c>
      <c r="W31" s="886" t="s">
        <v>1079</v>
      </c>
      <c r="X31" s="919">
        <v>11</v>
      </c>
      <c r="Y31" s="886" t="s">
        <v>305</v>
      </c>
      <c r="Z31" s="919">
        <v>11</v>
      </c>
      <c r="AA31" s="919">
        <v>200</v>
      </c>
      <c r="AB31" s="785">
        <v>149</v>
      </c>
      <c r="AC31" s="886" t="s">
        <v>1879</v>
      </c>
      <c r="AD31" s="886">
        <v>15</v>
      </c>
      <c r="AE31" s="886" t="s">
        <v>1880</v>
      </c>
      <c r="AF31" s="886" t="s">
        <v>1881</v>
      </c>
      <c r="AG31" s="919">
        <v>8.9</v>
      </c>
      <c r="AH31" s="886" t="s">
        <v>2133</v>
      </c>
      <c r="AI31" s="919">
        <v>6.07</v>
      </c>
      <c r="AJ31" s="919">
        <v>4450</v>
      </c>
      <c r="AK31" s="785">
        <v>190</v>
      </c>
      <c r="AL31" s="886" t="s">
        <v>1860</v>
      </c>
      <c r="AM31" s="886">
        <v>20</v>
      </c>
      <c r="AN31" s="886" t="s">
        <v>746</v>
      </c>
      <c r="AO31" s="886" t="s">
        <v>747</v>
      </c>
      <c r="AP31" s="919">
        <v>9.25</v>
      </c>
      <c r="AQ31" s="886" t="s">
        <v>305</v>
      </c>
      <c r="AR31" s="919">
        <v>9.25</v>
      </c>
      <c r="AS31" s="919">
        <v>125</v>
      </c>
      <c r="AT31" s="785">
        <v>231</v>
      </c>
      <c r="AU31" s="886" t="s">
        <v>1861</v>
      </c>
      <c r="AV31" s="886">
        <v>20</v>
      </c>
      <c r="AW31" s="886" t="s">
        <v>1138</v>
      </c>
      <c r="AX31" s="886" t="s">
        <v>1142</v>
      </c>
      <c r="AY31" s="919">
        <v>12.139999999999999</v>
      </c>
      <c r="AZ31" s="886" t="s">
        <v>305</v>
      </c>
      <c r="BA31" s="919">
        <v>12.139999999999999</v>
      </c>
      <c r="BB31" s="919">
        <v>300</v>
      </c>
      <c r="BC31" s="381"/>
      <c r="BD31" s="859"/>
      <c r="BE31" s="859"/>
      <c r="BF31" s="859"/>
      <c r="BG31" s="381"/>
      <c r="BH31" s="381"/>
      <c r="BI31" s="381"/>
      <c r="BJ31" s="601"/>
      <c r="BK31" s="556"/>
      <c r="BL31" s="380"/>
      <c r="BM31" s="1029"/>
      <c r="BN31" s="1030"/>
      <c r="BO31" s="1029"/>
      <c r="BP31" s="379"/>
      <c r="BQ31" s="379"/>
    </row>
    <row r="32" spans="1:72" s="263" customFormat="1" ht="13.35" customHeight="1">
      <c r="A32" s="264">
        <v>27</v>
      </c>
      <c r="B32" s="939" t="s">
        <v>2438</v>
      </c>
      <c r="C32" s="859">
        <v>5</v>
      </c>
      <c r="D32" s="859" t="s">
        <v>2439</v>
      </c>
      <c r="E32" s="859" t="s">
        <v>2440</v>
      </c>
      <c r="F32" s="703">
        <v>7.7</v>
      </c>
      <c r="G32" s="859" t="s">
        <v>2464</v>
      </c>
      <c r="H32" s="703">
        <v>7.8</v>
      </c>
      <c r="I32" s="703">
        <v>4499.6000000000004</v>
      </c>
      <c r="J32" s="237">
        <v>68</v>
      </c>
      <c r="K32" s="847" t="s">
        <v>1884</v>
      </c>
      <c r="L32" s="847">
        <v>15</v>
      </c>
      <c r="M32" s="847" t="s">
        <v>312</v>
      </c>
      <c r="N32" s="847" t="s">
        <v>320</v>
      </c>
      <c r="O32" s="587">
        <v>12.22</v>
      </c>
      <c r="P32" s="847" t="s">
        <v>305</v>
      </c>
      <c r="Q32" s="587">
        <v>12.22</v>
      </c>
      <c r="R32" s="587">
        <v>100</v>
      </c>
      <c r="S32" s="237">
        <v>109</v>
      </c>
      <c r="T32" s="859" t="s">
        <v>1885</v>
      </c>
      <c r="U32" s="859">
        <v>15</v>
      </c>
      <c r="V32" s="859" t="s">
        <v>1886</v>
      </c>
      <c r="W32" s="859" t="s">
        <v>1887</v>
      </c>
      <c r="X32" s="703">
        <v>11</v>
      </c>
      <c r="Y32" s="859" t="s">
        <v>305</v>
      </c>
      <c r="Z32" s="703">
        <v>11</v>
      </c>
      <c r="AA32" s="703">
        <v>200</v>
      </c>
      <c r="AB32" s="237">
        <v>150</v>
      </c>
      <c r="AC32" s="859" t="s">
        <v>1888</v>
      </c>
      <c r="AD32" s="859">
        <v>15</v>
      </c>
      <c r="AE32" s="859" t="s">
        <v>1754</v>
      </c>
      <c r="AF32" s="859" t="s">
        <v>1755</v>
      </c>
      <c r="AG32" s="703">
        <v>8.6999999999999993</v>
      </c>
      <c r="AH32" s="859" t="s">
        <v>2404</v>
      </c>
      <c r="AI32" s="703">
        <v>7.58</v>
      </c>
      <c r="AJ32" s="703">
        <v>4499.3</v>
      </c>
      <c r="AK32" s="237">
        <v>191</v>
      </c>
      <c r="AL32" s="859" t="s">
        <v>1865</v>
      </c>
      <c r="AM32" s="859">
        <v>20</v>
      </c>
      <c r="AN32" s="859" t="s">
        <v>748</v>
      </c>
      <c r="AO32" s="859" t="s">
        <v>749</v>
      </c>
      <c r="AP32" s="703">
        <v>9.4499999999999993</v>
      </c>
      <c r="AQ32" s="859" t="s">
        <v>305</v>
      </c>
      <c r="AR32" s="703">
        <v>9.4499999999999993</v>
      </c>
      <c r="AS32" s="703">
        <v>125</v>
      </c>
      <c r="AT32" s="237">
        <v>232</v>
      </c>
      <c r="AU32" s="859" t="s">
        <v>1866</v>
      </c>
      <c r="AV32" s="859">
        <v>20</v>
      </c>
      <c r="AW32" s="859" t="s">
        <v>1140</v>
      </c>
      <c r="AX32" s="859" t="s">
        <v>1143</v>
      </c>
      <c r="AY32" s="703">
        <v>12.139999999999999</v>
      </c>
      <c r="AZ32" s="859" t="s">
        <v>305</v>
      </c>
      <c r="BA32" s="703">
        <v>12.139999999999999</v>
      </c>
      <c r="BB32" s="703">
        <v>300</v>
      </c>
      <c r="BC32" s="381"/>
      <c r="BD32" s="859"/>
      <c r="BE32" s="859"/>
      <c r="BF32" s="859"/>
      <c r="BG32" s="381"/>
      <c r="BH32" s="381"/>
      <c r="BI32" s="381"/>
      <c r="BJ32" s="601"/>
      <c r="BK32" s="556"/>
      <c r="BL32" s="380"/>
      <c r="BM32" s="1029"/>
      <c r="BN32" s="1030"/>
      <c r="BO32" s="1029"/>
      <c r="BP32" s="379"/>
      <c r="BQ32" s="379"/>
    </row>
    <row r="33" spans="1:69" s="263" customFormat="1" ht="13.35" customHeight="1">
      <c r="A33" s="1033">
        <v>28</v>
      </c>
      <c r="B33" s="904" t="s">
        <v>2480</v>
      </c>
      <c r="C33" s="904">
        <v>5</v>
      </c>
      <c r="D33" s="935" t="s">
        <v>2481</v>
      </c>
      <c r="E33" s="904" t="s">
        <v>2482</v>
      </c>
      <c r="F33" s="588">
        <v>7.89</v>
      </c>
      <c r="G33" s="904" t="s">
        <v>2549</v>
      </c>
      <c r="H33" s="588">
        <v>7.8</v>
      </c>
      <c r="I33" s="782">
        <v>3300</v>
      </c>
      <c r="J33" s="785">
        <v>69</v>
      </c>
      <c r="K33" s="875" t="s">
        <v>1891</v>
      </c>
      <c r="L33" s="875">
        <v>15</v>
      </c>
      <c r="M33" s="875" t="s">
        <v>313</v>
      </c>
      <c r="N33" s="875" t="s">
        <v>321</v>
      </c>
      <c r="O33" s="879">
        <v>12.22</v>
      </c>
      <c r="P33" s="875" t="s">
        <v>305</v>
      </c>
      <c r="Q33" s="879">
        <v>12.22</v>
      </c>
      <c r="R33" s="879">
        <v>100</v>
      </c>
      <c r="S33" s="785">
        <v>110</v>
      </c>
      <c r="T33" s="886" t="s">
        <v>1892</v>
      </c>
      <c r="U33" s="886">
        <v>15</v>
      </c>
      <c r="V33" s="886" t="s">
        <v>1080</v>
      </c>
      <c r="W33" s="886" t="s">
        <v>1081</v>
      </c>
      <c r="X33" s="919">
        <v>11.5</v>
      </c>
      <c r="Y33" s="886" t="s">
        <v>305</v>
      </c>
      <c r="Z33" s="919">
        <v>11.5</v>
      </c>
      <c r="AA33" s="919">
        <v>275</v>
      </c>
      <c r="AB33" s="785">
        <v>151</v>
      </c>
      <c r="AC33" s="886" t="s">
        <v>2165</v>
      </c>
      <c r="AD33" s="886">
        <v>15</v>
      </c>
      <c r="AE33" s="886" t="s">
        <v>2166</v>
      </c>
      <c r="AF33" s="886" t="s">
        <v>2167</v>
      </c>
      <c r="AG33" s="919">
        <v>5.65</v>
      </c>
      <c r="AH33" s="886" t="s">
        <v>305</v>
      </c>
      <c r="AI33" s="919">
        <v>5.65</v>
      </c>
      <c r="AJ33" s="919">
        <v>4500</v>
      </c>
      <c r="AK33" s="785">
        <v>192</v>
      </c>
      <c r="AL33" s="886" t="s">
        <v>1873</v>
      </c>
      <c r="AM33" s="886">
        <v>20</v>
      </c>
      <c r="AN33" s="919" t="s">
        <v>750</v>
      </c>
      <c r="AO33" s="886" t="s">
        <v>1186</v>
      </c>
      <c r="AP33" s="919">
        <v>9.57</v>
      </c>
      <c r="AQ33" s="886" t="s">
        <v>305</v>
      </c>
      <c r="AR33" s="919">
        <v>9.57</v>
      </c>
      <c r="AS33" s="919">
        <v>125</v>
      </c>
      <c r="AT33" s="785">
        <v>233</v>
      </c>
      <c r="AU33" s="886" t="s">
        <v>1874</v>
      </c>
      <c r="AV33" s="886">
        <v>20</v>
      </c>
      <c r="AW33" s="886" t="s">
        <v>1145</v>
      </c>
      <c r="AX33" s="886" t="s">
        <v>1146</v>
      </c>
      <c r="AY33" s="919">
        <v>12.139999999999999</v>
      </c>
      <c r="AZ33" s="886" t="s">
        <v>305</v>
      </c>
      <c r="BA33" s="919">
        <v>12.139999999999999</v>
      </c>
      <c r="BB33" s="919">
        <v>350</v>
      </c>
      <c r="BC33" s="381"/>
      <c r="BD33" s="859"/>
      <c r="BE33" s="859"/>
      <c r="BF33" s="859"/>
      <c r="BG33" s="381"/>
      <c r="BH33" s="381"/>
      <c r="BI33" s="381"/>
      <c r="BJ33" s="601"/>
      <c r="BK33" s="1034"/>
      <c r="BL33" s="380"/>
      <c r="BM33" s="1029"/>
      <c r="BN33" s="1030"/>
      <c r="BO33" s="1029"/>
      <c r="BP33" s="379"/>
      <c r="BQ33" s="379"/>
    </row>
    <row r="34" spans="1:69" s="175" customFormat="1" ht="13.35" customHeight="1">
      <c r="A34" s="264">
        <v>29</v>
      </c>
      <c r="B34" s="847" t="s">
        <v>2634</v>
      </c>
      <c r="C34" s="859">
        <v>5</v>
      </c>
      <c r="D34" s="859" t="s">
        <v>2635</v>
      </c>
      <c r="E34" s="859" t="s">
        <v>2636</v>
      </c>
      <c r="F34" s="703">
        <v>7.85</v>
      </c>
      <c r="G34" s="859" t="s">
        <v>2660</v>
      </c>
      <c r="H34" s="703">
        <v>7.9</v>
      </c>
      <c r="I34" s="703">
        <v>3000</v>
      </c>
      <c r="J34" s="237">
        <v>70</v>
      </c>
      <c r="K34" s="847" t="s">
        <v>1898</v>
      </c>
      <c r="L34" s="847">
        <v>15</v>
      </c>
      <c r="M34" s="847" t="s">
        <v>314</v>
      </c>
      <c r="N34" s="847" t="s">
        <v>322</v>
      </c>
      <c r="O34" s="587">
        <v>12.22</v>
      </c>
      <c r="P34" s="847" t="s">
        <v>305</v>
      </c>
      <c r="Q34" s="587">
        <v>12.22</v>
      </c>
      <c r="R34" s="587">
        <v>100</v>
      </c>
      <c r="S34" s="237">
        <v>111</v>
      </c>
      <c r="T34" s="847" t="s">
        <v>1899</v>
      </c>
      <c r="U34" s="860">
        <v>15</v>
      </c>
      <c r="V34" s="847" t="s">
        <v>1082</v>
      </c>
      <c r="W34" s="847" t="s">
        <v>1083</v>
      </c>
      <c r="X34" s="587">
        <v>11.6</v>
      </c>
      <c r="Y34" s="859" t="s">
        <v>305</v>
      </c>
      <c r="Z34" s="587">
        <v>11.6</v>
      </c>
      <c r="AA34" s="587">
        <v>275</v>
      </c>
      <c r="AB34" s="237">
        <v>152</v>
      </c>
      <c r="AC34" s="703" t="s">
        <v>2427</v>
      </c>
      <c r="AD34" s="859">
        <v>15</v>
      </c>
      <c r="AE34" s="859" t="s">
        <v>2428</v>
      </c>
      <c r="AF34" s="859" t="s">
        <v>2429</v>
      </c>
      <c r="AG34" s="703">
        <v>7.98</v>
      </c>
      <c r="AH34" s="859" t="s">
        <v>2571</v>
      </c>
      <c r="AI34" s="703">
        <v>8.5</v>
      </c>
      <c r="AJ34" s="703">
        <v>4228</v>
      </c>
      <c r="AK34" s="237">
        <v>193</v>
      </c>
      <c r="AL34" s="859" t="s">
        <v>1882</v>
      </c>
      <c r="AM34" s="859">
        <v>20</v>
      </c>
      <c r="AN34" s="859" t="s">
        <v>751</v>
      </c>
      <c r="AO34" s="859" t="s">
        <v>752</v>
      </c>
      <c r="AP34" s="703">
        <v>9.6</v>
      </c>
      <c r="AQ34" s="859" t="s">
        <v>305</v>
      </c>
      <c r="AR34" s="703">
        <v>9.6</v>
      </c>
      <c r="AS34" s="703">
        <v>150</v>
      </c>
      <c r="AT34" s="237">
        <v>234</v>
      </c>
      <c r="AU34" s="859" t="s">
        <v>1883</v>
      </c>
      <c r="AV34" s="859">
        <v>20</v>
      </c>
      <c r="AW34" s="859" t="s">
        <v>1148</v>
      </c>
      <c r="AX34" s="859" t="s">
        <v>1147</v>
      </c>
      <c r="AY34" s="703">
        <v>12.120000000000001</v>
      </c>
      <c r="AZ34" s="859" t="s">
        <v>305</v>
      </c>
      <c r="BA34" s="703">
        <v>12.120000000000001</v>
      </c>
      <c r="BB34" s="703">
        <v>350</v>
      </c>
      <c r="BC34" s="381"/>
      <c r="BD34" s="859"/>
      <c r="BE34" s="859"/>
      <c r="BF34" s="859"/>
      <c r="BG34" s="381"/>
      <c r="BH34" s="381"/>
      <c r="BI34" s="381"/>
      <c r="BJ34" s="601"/>
      <c r="BK34" s="1034"/>
      <c r="BL34" s="380"/>
      <c r="BM34" s="1029"/>
      <c r="BN34" s="1030"/>
      <c r="BO34" s="1029"/>
      <c r="BP34" s="379"/>
      <c r="BQ34" s="379"/>
    </row>
    <row r="35" spans="1:69" s="175" customFormat="1" ht="13.35" customHeight="1">
      <c r="A35" s="1033">
        <v>30</v>
      </c>
      <c r="B35" s="941" t="s">
        <v>1925</v>
      </c>
      <c r="C35" s="886">
        <v>10</v>
      </c>
      <c r="D35" s="886" t="s">
        <v>1032</v>
      </c>
      <c r="E35" s="886" t="s">
        <v>318</v>
      </c>
      <c r="F35" s="919">
        <v>11.9</v>
      </c>
      <c r="G35" s="886" t="s">
        <v>305</v>
      </c>
      <c r="H35" s="919">
        <v>11.9</v>
      </c>
      <c r="I35" s="919">
        <v>700</v>
      </c>
      <c r="J35" s="785">
        <v>71</v>
      </c>
      <c r="K35" s="886" t="s">
        <v>1905</v>
      </c>
      <c r="L35" s="886">
        <v>15</v>
      </c>
      <c r="M35" s="886" t="s">
        <v>1099</v>
      </c>
      <c r="N35" s="886" t="s">
        <v>1100</v>
      </c>
      <c r="O35" s="919">
        <v>12.14</v>
      </c>
      <c r="P35" s="886" t="s">
        <v>305</v>
      </c>
      <c r="Q35" s="919">
        <v>12.14</v>
      </c>
      <c r="R35" s="919">
        <v>150</v>
      </c>
      <c r="S35" s="785">
        <v>112</v>
      </c>
      <c r="T35" s="904" t="s">
        <v>1906</v>
      </c>
      <c r="U35" s="875">
        <v>15</v>
      </c>
      <c r="V35" s="904" t="s">
        <v>1084</v>
      </c>
      <c r="W35" s="904" t="s">
        <v>1085</v>
      </c>
      <c r="X35" s="588">
        <v>11.65</v>
      </c>
      <c r="Y35" s="886" t="s">
        <v>305</v>
      </c>
      <c r="Z35" s="588">
        <v>11.65</v>
      </c>
      <c r="AA35" s="588">
        <v>275</v>
      </c>
      <c r="AB35" s="785">
        <v>153</v>
      </c>
      <c r="AC35" s="886" t="s">
        <v>2471</v>
      </c>
      <c r="AD35" s="886">
        <v>15</v>
      </c>
      <c r="AE35" s="886" t="s">
        <v>2469</v>
      </c>
      <c r="AF35" s="886" t="s">
        <v>2472</v>
      </c>
      <c r="AG35" s="919">
        <v>8.5500000000000007</v>
      </c>
      <c r="AH35" s="886" t="s">
        <v>2664</v>
      </c>
      <c r="AI35" s="919">
        <v>8.77</v>
      </c>
      <c r="AJ35" s="919">
        <v>3516.47</v>
      </c>
      <c r="AK35" s="785">
        <v>194</v>
      </c>
      <c r="AL35" s="886" t="s">
        <v>1889</v>
      </c>
      <c r="AM35" s="886">
        <v>20</v>
      </c>
      <c r="AN35" s="886" t="s">
        <v>753</v>
      </c>
      <c r="AO35" s="886" t="s">
        <v>754</v>
      </c>
      <c r="AP35" s="919">
        <v>9.6</v>
      </c>
      <c r="AQ35" s="886" t="s">
        <v>305</v>
      </c>
      <c r="AR35" s="919">
        <v>9.6</v>
      </c>
      <c r="AS35" s="919">
        <v>150</v>
      </c>
      <c r="AT35" s="785">
        <v>235</v>
      </c>
      <c r="AU35" s="886" t="s">
        <v>1890</v>
      </c>
      <c r="AV35" s="886">
        <v>20</v>
      </c>
      <c r="AW35" s="886" t="s">
        <v>1164</v>
      </c>
      <c r="AX35" s="886" t="s">
        <v>1168</v>
      </c>
      <c r="AY35" s="919">
        <v>12.1</v>
      </c>
      <c r="AZ35" s="886" t="s">
        <v>305</v>
      </c>
      <c r="BA35" s="919">
        <v>12.1</v>
      </c>
      <c r="BB35" s="919">
        <v>250</v>
      </c>
      <c r="BC35" s="381"/>
      <c r="BD35" s="859"/>
      <c r="BE35" s="859"/>
      <c r="BF35" s="859"/>
      <c r="BG35" s="381"/>
      <c r="BH35" s="381"/>
      <c r="BI35" s="381"/>
      <c r="BJ35" s="278"/>
      <c r="BK35" s="1036"/>
      <c r="BL35" s="380"/>
      <c r="BM35" s="1029"/>
      <c r="BN35" s="1030"/>
      <c r="BO35" s="1029"/>
      <c r="BP35" s="379"/>
      <c r="BQ35" s="379"/>
    </row>
    <row r="36" spans="1:69" s="175" customFormat="1" ht="13.35" customHeight="1">
      <c r="A36" s="264">
        <v>31</v>
      </c>
      <c r="B36" s="859" t="s">
        <v>1931</v>
      </c>
      <c r="C36" s="859">
        <v>10</v>
      </c>
      <c r="D36" s="859" t="s">
        <v>1033</v>
      </c>
      <c r="E36" s="859" t="s">
        <v>319</v>
      </c>
      <c r="F36" s="703">
        <v>12</v>
      </c>
      <c r="G36" s="859" t="s">
        <v>305</v>
      </c>
      <c r="H36" s="703">
        <v>12</v>
      </c>
      <c r="I36" s="703">
        <v>700</v>
      </c>
      <c r="J36" s="237">
        <v>72</v>
      </c>
      <c r="K36" s="859" t="s">
        <v>1910</v>
      </c>
      <c r="L36" s="859">
        <v>15</v>
      </c>
      <c r="M36" s="859" t="s">
        <v>315</v>
      </c>
      <c r="N36" s="859" t="s">
        <v>323</v>
      </c>
      <c r="O36" s="703">
        <v>12.14</v>
      </c>
      <c r="P36" s="859" t="s">
        <v>305</v>
      </c>
      <c r="Q36" s="703">
        <v>12.14</v>
      </c>
      <c r="R36" s="703">
        <v>150</v>
      </c>
      <c r="S36" s="237">
        <v>113</v>
      </c>
      <c r="T36" s="859" t="s">
        <v>1911</v>
      </c>
      <c r="U36" s="859">
        <v>15</v>
      </c>
      <c r="V36" s="1528" t="s">
        <v>1037</v>
      </c>
      <c r="W36" s="859" t="s">
        <v>1038</v>
      </c>
      <c r="X36" s="703">
        <v>11.7</v>
      </c>
      <c r="Y36" s="859" t="s">
        <v>305</v>
      </c>
      <c r="Z36" s="703">
        <v>11.7</v>
      </c>
      <c r="AA36" s="703">
        <v>500</v>
      </c>
      <c r="AB36" s="237">
        <v>154</v>
      </c>
      <c r="AC36" s="859" t="s">
        <v>1893</v>
      </c>
      <c r="AD36" s="859">
        <v>20</v>
      </c>
      <c r="AE36" s="859" t="s">
        <v>1894</v>
      </c>
      <c r="AF36" s="859" t="s">
        <v>1895</v>
      </c>
      <c r="AG36" s="703">
        <v>15.950000000000001</v>
      </c>
      <c r="AH36" s="859" t="s">
        <v>305</v>
      </c>
      <c r="AI36" s="703">
        <v>15.950000000000001</v>
      </c>
      <c r="AJ36" s="703">
        <v>50</v>
      </c>
      <c r="AK36" s="237">
        <v>195</v>
      </c>
      <c r="AL36" s="859" t="s">
        <v>1896</v>
      </c>
      <c r="AM36" s="859">
        <v>20</v>
      </c>
      <c r="AN36" s="859" t="s">
        <v>755</v>
      </c>
      <c r="AO36" s="859" t="s">
        <v>756</v>
      </c>
      <c r="AP36" s="703">
        <v>9.6300000000000008</v>
      </c>
      <c r="AQ36" s="859" t="s">
        <v>305</v>
      </c>
      <c r="AR36" s="703">
        <v>9.6300000000000008</v>
      </c>
      <c r="AS36" s="703">
        <v>160</v>
      </c>
      <c r="AT36" s="237">
        <v>236</v>
      </c>
      <c r="AU36" s="847" t="s">
        <v>1897</v>
      </c>
      <c r="AV36" s="847">
        <v>20</v>
      </c>
      <c r="AW36" s="859" t="s">
        <v>1166</v>
      </c>
      <c r="AX36" s="859" t="s">
        <v>1169</v>
      </c>
      <c r="AY36" s="703">
        <v>11.89</v>
      </c>
      <c r="AZ36" s="859" t="s">
        <v>305</v>
      </c>
      <c r="BA36" s="703">
        <v>11.89</v>
      </c>
      <c r="BB36" s="703">
        <v>250</v>
      </c>
      <c r="BC36" s="381"/>
      <c r="BD36" s="859"/>
      <c r="BE36" s="859"/>
      <c r="BF36" s="859"/>
      <c r="BG36" s="381"/>
      <c r="BH36" s="381"/>
      <c r="BI36" s="381"/>
      <c r="BJ36" s="278"/>
      <c r="BK36" s="1036"/>
      <c r="BL36" s="380"/>
      <c r="BM36" s="1029"/>
      <c r="BN36" s="1030"/>
      <c r="BO36" s="1029"/>
      <c r="BP36" s="379"/>
      <c r="BQ36" s="379"/>
    </row>
    <row r="37" spans="1:69" s="175" customFormat="1" ht="13.35" customHeight="1">
      <c r="A37" s="1033">
        <v>32</v>
      </c>
      <c r="B37" s="904" t="s">
        <v>1939</v>
      </c>
      <c r="C37" s="904">
        <v>10</v>
      </c>
      <c r="D37" s="904" t="s">
        <v>1034</v>
      </c>
      <c r="E37" s="904" t="s">
        <v>1035</v>
      </c>
      <c r="F37" s="588">
        <v>12.1</v>
      </c>
      <c r="G37" s="904" t="s">
        <v>305</v>
      </c>
      <c r="H37" s="588">
        <v>12.1</v>
      </c>
      <c r="I37" s="588">
        <v>1800</v>
      </c>
      <c r="J37" s="785">
        <v>73</v>
      </c>
      <c r="K37" s="886" t="s">
        <v>1915</v>
      </c>
      <c r="L37" s="886">
        <v>15</v>
      </c>
      <c r="M37" s="886" t="s">
        <v>692</v>
      </c>
      <c r="N37" s="886" t="s">
        <v>693</v>
      </c>
      <c r="O37" s="919">
        <v>12.14</v>
      </c>
      <c r="P37" s="886" t="s">
        <v>305</v>
      </c>
      <c r="Q37" s="919">
        <v>12.14</v>
      </c>
      <c r="R37" s="919">
        <v>150</v>
      </c>
      <c r="S37" s="785">
        <v>114</v>
      </c>
      <c r="T37" s="886" t="s">
        <v>1916</v>
      </c>
      <c r="U37" s="886">
        <v>15</v>
      </c>
      <c r="V37" s="886" t="s">
        <v>1039</v>
      </c>
      <c r="W37" s="886" t="s">
        <v>1040</v>
      </c>
      <c r="X37" s="919">
        <v>11.75</v>
      </c>
      <c r="Y37" s="886" t="s">
        <v>305</v>
      </c>
      <c r="Z37" s="919">
        <v>11.75</v>
      </c>
      <c r="AA37" s="919">
        <v>500</v>
      </c>
      <c r="AB37" s="785">
        <v>155</v>
      </c>
      <c r="AC37" s="904" t="s">
        <v>1900</v>
      </c>
      <c r="AD37" s="904">
        <v>20</v>
      </c>
      <c r="AE37" s="904" t="s">
        <v>1901</v>
      </c>
      <c r="AF37" s="904" t="s">
        <v>1902</v>
      </c>
      <c r="AG37" s="588">
        <v>15.440000000000001</v>
      </c>
      <c r="AH37" s="904" t="s">
        <v>305</v>
      </c>
      <c r="AI37" s="588">
        <v>15.440000000000001</v>
      </c>
      <c r="AJ37" s="588">
        <v>50</v>
      </c>
      <c r="AK37" s="785">
        <v>196</v>
      </c>
      <c r="AL37" s="886" t="s">
        <v>1903</v>
      </c>
      <c r="AM37" s="886">
        <v>20</v>
      </c>
      <c r="AN37" s="886" t="s">
        <v>759</v>
      </c>
      <c r="AO37" s="886" t="s">
        <v>760</v>
      </c>
      <c r="AP37" s="919">
        <v>9.65</v>
      </c>
      <c r="AQ37" s="886" t="s">
        <v>305</v>
      </c>
      <c r="AR37" s="919">
        <v>9.65</v>
      </c>
      <c r="AS37" s="919">
        <v>175</v>
      </c>
      <c r="AT37" s="785">
        <v>237</v>
      </c>
      <c r="AU37" s="904" t="s">
        <v>1904</v>
      </c>
      <c r="AV37" s="904">
        <v>20</v>
      </c>
      <c r="AW37" s="886" t="s">
        <v>1170</v>
      </c>
      <c r="AX37" s="886" t="s">
        <v>1172</v>
      </c>
      <c r="AY37" s="919">
        <v>11.98</v>
      </c>
      <c r="AZ37" s="886" t="s">
        <v>305</v>
      </c>
      <c r="BA37" s="588">
        <v>11.98</v>
      </c>
      <c r="BB37" s="782">
        <v>250</v>
      </c>
      <c r="BC37" s="381"/>
      <c r="BD37" s="859"/>
      <c r="BE37" s="859"/>
      <c r="BF37" s="859"/>
      <c r="BG37" s="381"/>
      <c r="BH37" s="381"/>
      <c r="BI37" s="381"/>
      <c r="BJ37" s="278"/>
      <c r="BK37" s="1036"/>
      <c r="BL37" s="380"/>
      <c r="BM37" s="1029"/>
      <c r="BN37" s="1030"/>
      <c r="BO37" s="1029"/>
      <c r="BP37" s="379"/>
      <c r="BQ37" s="379"/>
    </row>
    <row r="38" spans="1:69" s="175" customFormat="1" ht="13.35" customHeight="1">
      <c r="A38" s="237">
        <v>33</v>
      </c>
      <c r="B38" s="847" t="s">
        <v>1944</v>
      </c>
      <c r="C38" s="847">
        <v>10</v>
      </c>
      <c r="D38" s="918" t="s">
        <v>1087</v>
      </c>
      <c r="E38" s="847" t="s">
        <v>1088</v>
      </c>
      <c r="F38" s="587">
        <v>12.1</v>
      </c>
      <c r="G38" s="847" t="s">
        <v>305</v>
      </c>
      <c r="H38" s="587">
        <v>12.1</v>
      </c>
      <c r="I38" s="587">
        <v>700</v>
      </c>
      <c r="J38" s="237">
        <v>74</v>
      </c>
      <c r="K38" s="859" t="s">
        <v>1920</v>
      </c>
      <c r="L38" s="859">
        <v>15</v>
      </c>
      <c r="M38" s="859" t="s">
        <v>316</v>
      </c>
      <c r="N38" s="859" t="s">
        <v>2106</v>
      </c>
      <c r="O38" s="703">
        <v>12.14</v>
      </c>
      <c r="P38" s="859" t="s">
        <v>305</v>
      </c>
      <c r="Q38" s="703">
        <v>12.14</v>
      </c>
      <c r="R38" s="703">
        <v>150</v>
      </c>
      <c r="S38" s="237">
        <v>115</v>
      </c>
      <c r="T38" s="859" t="s">
        <v>1921</v>
      </c>
      <c r="U38" s="859">
        <v>15</v>
      </c>
      <c r="V38" s="859" t="s">
        <v>1041</v>
      </c>
      <c r="W38" s="859" t="s">
        <v>1042</v>
      </c>
      <c r="X38" s="703">
        <v>11.8</v>
      </c>
      <c r="Y38" s="859" t="s">
        <v>305</v>
      </c>
      <c r="Z38" s="703">
        <v>11.8</v>
      </c>
      <c r="AA38" s="703">
        <v>500</v>
      </c>
      <c r="AB38" s="237">
        <v>156</v>
      </c>
      <c r="AC38" s="859" t="s">
        <v>1907</v>
      </c>
      <c r="AD38" s="859">
        <v>20</v>
      </c>
      <c r="AE38" s="859" t="s">
        <v>508</v>
      </c>
      <c r="AF38" s="859" t="s">
        <v>511</v>
      </c>
      <c r="AG38" s="703">
        <v>14.23</v>
      </c>
      <c r="AH38" s="859" t="s">
        <v>305</v>
      </c>
      <c r="AI38" s="703">
        <v>14.23</v>
      </c>
      <c r="AJ38" s="703">
        <v>50</v>
      </c>
      <c r="AK38" s="237">
        <v>197</v>
      </c>
      <c r="AL38" s="859" t="s">
        <v>1908</v>
      </c>
      <c r="AM38" s="859">
        <v>20</v>
      </c>
      <c r="AN38" s="859" t="s">
        <v>1334</v>
      </c>
      <c r="AO38" s="859" t="s">
        <v>1327</v>
      </c>
      <c r="AP38" s="703">
        <v>9.65</v>
      </c>
      <c r="AQ38" s="859" t="s">
        <v>305</v>
      </c>
      <c r="AR38" s="703">
        <v>9.65</v>
      </c>
      <c r="AS38" s="703">
        <v>175</v>
      </c>
      <c r="AT38" s="237">
        <v>238</v>
      </c>
      <c r="AU38" s="847" t="s">
        <v>1909</v>
      </c>
      <c r="AV38" s="847">
        <v>20</v>
      </c>
      <c r="AW38" s="859" t="s">
        <v>1180</v>
      </c>
      <c r="AX38" s="859" t="s">
        <v>1185</v>
      </c>
      <c r="AY38" s="703">
        <v>11.98</v>
      </c>
      <c r="AZ38" s="859" t="s">
        <v>305</v>
      </c>
      <c r="BA38" s="587">
        <v>11.98</v>
      </c>
      <c r="BB38" s="850">
        <v>250</v>
      </c>
      <c r="BC38" s="381"/>
      <c r="BD38" s="859"/>
      <c r="BE38" s="859"/>
      <c r="BF38" s="859"/>
      <c r="BG38" s="381"/>
      <c r="BH38" s="381"/>
      <c r="BI38" s="381"/>
      <c r="BJ38" s="278"/>
      <c r="BK38" s="556"/>
      <c r="BL38" s="380"/>
      <c r="BM38" s="1029"/>
      <c r="BN38" s="1030"/>
      <c r="BO38" s="1029"/>
      <c r="BP38" s="379"/>
      <c r="BQ38" s="379"/>
    </row>
    <row r="39" spans="1:69" s="175" customFormat="1" ht="13.35" customHeight="1">
      <c r="A39" s="785">
        <v>34</v>
      </c>
      <c r="B39" s="886" t="s">
        <v>1953</v>
      </c>
      <c r="C39" s="886">
        <v>10</v>
      </c>
      <c r="D39" s="886" t="s">
        <v>1110</v>
      </c>
      <c r="E39" s="886" t="s">
        <v>1111</v>
      </c>
      <c r="F39" s="919">
        <v>11.22</v>
      </c>
      <c r="G39" s="886" t="s">
        <v>1954</v>
      </c>
      <c r="H39" s="919">
        <v>12.22</v>
      </c>
      <c r="I39" s="919">
        <v>1200</v>
      </c>
      <c r="J39" s="785">
        <v>75</v>
      </c>
      <c r="K39" s="935" t="s">
        <v>1926</v>
      </c>
      <c r="L39" s="904">
        <v>15</v>
      </c>
      <c r="M39" s="904" t="s">
        <v>317</v>
      </c>
      <c r="N39" s="904" t="s">
        <v>324</v>
      </c>
      <c r="O39" s="782">
        <v>12.14</v>
      </c>
      <c r="P39" s="904" t="s">
        <v>305</v>
      </c>
      <c r="Q39" s="588">
        <v>12.14</v>
      </c>
      <c r="R39" s="588">
        <v>150</v>
      </c>
      <c r="S39" s="785">
        <v>116</v>
      </c>
      <c r="T39" s="886" t="s">
        <v>1927</v>
      </c>
      <c r="U39" s="886">
        <v>15</v>
      </c>
      <c r="V39" s="886" t="s">
        <v>1043</v>
      </c>
      <c r="W39" s="886" t="s">
        <v>1044</v>
      </c>
      <c r="X39" s="919">
        <v>11.85</v>
      </c>
      <c r="Y39" s="886" t="s">
        <v>305</v>
      </c>
      <c r="Z39" s="919">
        <v>11.85</v>
      </c>
      <c r="AA39" s="919">
        <v>350</v>
      </c>
      <c r="AB39" s="785">
        <v>157</v>
      </c>
      <c r="AC39" s="886" t="s">
        <v>1912</v>
      </c>
      <c r="AD39" s="886">
        <v>20</v>
      </c>
      <c r="AE39" s="886" t="s">
        <v>509</v>
      </c>
      <c r="AF39" s="886" t="s">
        <v>512</v>
      </c>
      <c r="AG39" s="919">
        <v>13.88</v>
      </c>
      <c r="AH39" s="886" t="s">
        <v>305</v>
      </c>
      <c r="AI39" s="919">
        <v>13.88</v>
      </c>
      <c r="AJ39" s="919">
        <v>50</v>
      </c>
      <c r="AK39" s="785">
        <v>198</v>
      </c>
      <c r="AL39" s="886" t="s">
        <v>1913</v>
      </c>
      <c r="AM39" s="886">
        <v>20</v>
      </c>
      <c r="AN39" s="886" t="s">
        <v>1335</v>
      </c>
      <c r="AO39" s="886" t="s">
        <v>1332</v>
      </c>
      <c r="AP39" s="919">
        <v>9.65</v>
      </c>
      <c r="AQ39" s="886" t="s">
        <v>305</v>
      </c>
      <c r="AR39" s="919">
        <v>9.65</v>
      </c>
      <c r="AS39" s="919">
        <v>185</v>
      </c>
      <c r="AT39" s="785">
        <v>239</v>
      </c>
      <c r="AU39" s="1007" t="s">
        <v>1914</v>
      </c>
      <c r="AV39" s="1007">
        <v>20</v>
      </c>
      <c r="AW39" s="886" t="s">
        <v>1182</v>
      </c>
      <c r="AX39" s="886" t="s">
        <v>1184</v>
      </c>
      <c r="AY39" s="919">
        <v>11.98</v>
      </c>
      <c r="AZ39" s="886" t="s">
        <v>1847</v>
      </c>
      <c r="BA39" s="588">
        <v>11.97</v>
      </c>
      <c r="BB39" s="782">
        <v>680</v>
      </c>
      <c r="BC39" s="381"/>
      <c r="BD39" s="859"/>
      <c r="BE39" s="859"/>
      <c r="BF39" s="859"/>
      <c r="BG39" s="381"/>
      <c r="BH39" s="381"/>
      <c r="BI39" s="381"/>
      <c r="BJ39" s="278"/>
      <c r="BK39" s="556"/>
      <c r="BL39" s="380"/>
      <c r="BM39" s="1035"/>
      <c r="BN39" s="1030"/>
      <c r="BO39" s="1035"/>
      <c r="BP39" s="379"/>
      <c r="BQ39" s="379"/>
    </row>
    <row r="40" spans="1:69" s="175" customFormat="1" ht="13.35" customHeight="1">
      <c r="A40" s="237">
        <v>35</v>
      </c>
      <c r="B40" s="859" t="s">
        <v>1962</v>
      </c>
      <c r="C40" s="859">
        <v>10</v>
      </c>
      <c r="D40" s="859" t="s">
        <v>1122</v>
      </c>
      <c r="E40" s="859" t="s">
        <v>1123</v>
      </c>
      <c r="F40" s="703">
        <v>12.16</v>
      </c>
      <c r="G40" s="859" t="s">
        <v>1963</v>
      </c>
      <c r="H40" s="703">
        <v>12.1</v>
      </c>
      <c r="I40" s="703">
        <v>1400</v>
      </c>
      <c r="J40" s="237">
        <v>76</v>
      </c>
      <c r="K40" s="847" t="s">
        <v>1932</v>
      </c>
      <c r="L40" s="847">
        <v>15</v>
      </c>
      <c r="M40" s="847" t="s">
        <v>1933</v>
      </c>
      <c r="N40" s="847" t="s">
        <v>1934</v>
      </c>
      <c r="O40" s="850">
        <v>12.14</v>
      </c>
      <c r="P40" s="847" t="s">
        <v>305</v>
      </c>
      <c r="Q40" s="587">
        <v>12.14</v>
      </c>
      <c r="R40" s="587">
        <v>150</v>
      </c>
      <c r="S40" s="237">
        <v>117</v>
      </c>
      <c r="T40" s="859" t="s">
        <v>1935</v>
      </c>
      <c r="U40" s="859">
        <v>15</v>
      </c>
      <c r="V40" s="859" t="s">
        <v>1045</v>
      </c>
      <c r="W40" s="859" t="s">
        <v>1046</v>
      </c>
      <c r="X40" s="703">
        <v>11.88</v>
      </c>
      <c r="Y40" s="859" t="s">
        <v>305</v>
      </c>
      <c r="Z40" s="703">
        <v>11.88</v>
      </c>
      <c r="AA40" s="703">
        <v>350</v>
      </c>
      <c r="AB40" s="237">
        <v>158</v>
      </c>
      <c r="AC40" s="859" t="s">
        <v>1917</v>
      </c>
      <c r="AD40" s="859">
        <v>20</v>
      </c>
      <c r="AE40" s="859" t="s">
        <v>510</v>
      </c>
      <c r="AF40" s="859" t="s">
        <v>513</v>
      </c>
      <c r="AG40" s="703">
        <v>13.489999999999998</v>
      </c>
      <c r="AH40" s="859" t="s">
        <v>305</v>
      </c>
      <c r="AI40" s="703">
        <v>13.489999999999998</v>
      </c>
      <c r="AJ40" s="703">
        <v>50</v>
      </c>
      <c r="AK40" s="237">
        <v>199</v>
      </c>
      <c r="AL40" s="859" t="s">
        <v>1918</v>
      </c>
      <c r="AM40" s="859">
        <v>20</v>
      </c>
      <c r="AN40" s="703" t="s">
        <v>1336</v>
      </c>
      <c r="AO40" s="859" t="s">
        <v>1333</v>
      </c>
      <c r="AP40" s="703">
        <v>10</v>
      </c>
      <c r="AQ40" s="859" t="s">
        <v>305</v>
      </c>
      <c r="AR40" s="703">
        <v>10</v>
      </c>
      <c r="AS40" s="703">
        <v>150</v>
      </c>
      <c r="AT40" s="237">
        <v>240</v>
      </c>
      <c r="AU40" s="847" t="s">
        <v>1919</v>
      </c>
      <c r="AV40" s="847">
        <v>20</v>
      </c>
      <c r="AW40" s="859" t="s">
        <v>1297</v>
      </c>
      <c r="AX40" s="859" t="s">
        <v>1298</v>
      </c>
      <c r="AY40" s="703">
        <v>10.36</v>
      </c>
      <c r="AZ40" s="859" t="s">
        <v>1597</v>
      </c>
      <c r="BA40" s="587">
        <v>8.09</v>
      </c>
      <c r="BB40" s="850">
        <v>2600</v>
      </c>
      <c r="BK40" s="263"/>
      <c r="BL40" s="381"/>
      <c r="BM40" s="1035"/>
      <c r="BN40" s="1030"/>
      <c r="BO40" s="1035"/>
      <c r="BP40" s="379"/>
      <c r="BQ40" s="379"/>
    </row>
    <row r="41" spans="1:69" s="175" customFormat="1" ht="13.35" customHeight="1">
      <c r="A41" s="785">
        <v>36</v>
      </c>
      <c r="B41" s="886" t="s">
        <v>1965</v>
      </c>
      <c r="C41" s="886">
        <v>10</v>
      </c>
      <c r="D41" s="886" t="s">
        <v>1135</v>
      </c>
      <c r="E41" s="886" t="s">
        <v>1136</v>
      </c>
      <c r="F41" s="919">
        <v>11.75</v>
      </c>
      <c r="G41" s="886" t="s">
        <v>1966</v>
      </c>
      <c r="H41" s="919">
        <v>11.67</v>
      </c>
      <c r="I41" s="919">
        <v>1450</v>
      </c>
      <c r="J41" s="785">
        <v>77</v>
      </c>
      <c r="K41" s="886" t="s">
        <v>1940</v>
      </c>
      <c r="L41" s="886">
        <v>15</v>
      </c>
      <c r="M41" s="886" t="s">
        <v>694</v>
      </c>
      <c r="N41" s="886" t="s">
        <v>695</v>
      </c>
      <c r="O41" s="919">
        <v>12.14</v>
      </c>
      <c r="P41" s="886" t="s">
        <v>305</v>
      </c>
      <c r="Q41" s="919">
        <v>12.14</v>
      </c>
      <c r="R41" s="919">
        <v>150</v>
      </c>
      <c r="S41" s="785">
        <v>118</v>
      </c>
      <c r="T41" s="919" t="s">
        <v>2572</v>
      </c>
      <c r="U41" s="886">
        <v>15</v>
      </c>
      <c r="V41" s="886" t="s">
        <v>2573</v>
      </c>
      <c r="W41" s="886" t="s">
        <v>2574</v>
      </c>
      <c r="X41" s="919">
        <v>11.93</v>
      </c>
      <c r="Y41" s="886" t="s">
        <v>305</v>
      </c>
      <c r="Z41" s="919">
        <v>11.93</v>
      </c>
      <c r="AA41" s="919">
        <v>100</v>
      </c>
      <c r="AB41" s="785">
        <v>159</v>
      </c>
      <c r="AC41" s="886" t="s">
        <v>1922</v>
      </c>
      <c r="AD41" s="886">
        <v>20</v>
      </c>
      <c r="AE41" s="919" t="s">
        <v>2107</v>
      </c>
      <c r="AF41" s="886" t="s">
        <v>2108</v>
      </c>
      <c r="AG41" s="919">
        <v>13.29</v>
      </c>
      <c r="AH41" s="886" t="s">
        <v>305</v>
      </c>
      <c r="AI41" s="919">
        <v>13.29</v>
      </c>
      <c r="AJ41" s="919">
        <v>50</v>
      </c>
      <c r="AK41" s="785">
        <v>200</v>
      </c>
      <c r="AL41" s="886" t="s">
        <v>1923</v>
      </c>
      <c r="AM41" s="886">
        <v>20</v>
      </c>
      <c r="AN41" s="886" t="s">
        <v>1345</v>
      </c>
      <c r="AO41" s="886" t="s">
        <v>1337</v>
      </c>
      <c r="AP41" s="919">
        <v>10.25</v>
      </c>
      <c r="AQ41" s="886" t="s">
        <v>305</v>
      </c>
      <c r="AR41" s="919">
        <v>10.25</v>
      </c>
      <c r="AS41" s="919">
        <v>150</v>
      </c>
      <c r="AT41" s="785">
        <v>241</v>
      </c>
      <c r="AU41" s="904" t="s">
        <v>1924</v>
      </c>
      <c r="AV41" s="904">
        <v>20</v>
      </c>
      <c r="AW41" s="886" t="s">
        <v>1304</v>
      </c>
      <c r="AX41" s="886" t="s">
        <v>1305</v>
      </c>
      <c r="AY41" s="919">
        <v>8.6999999999999993</v>
      </c>
      <c r="AZ41" s="886" t="s">
        <v>1707</v>
      </c>
      <c r="BA41" s="588">
        <v>9.43</v>
      </c>
      <c r="BB41" s="782">
        <v>3950</v>
      </c>
      <c r="BC41" s="9"/>
      <c r="BD41" s="9"/>
      <c r="BE41" s="9"/>
      <c r="BF41" s="9"/>
      <c r="BG41" s="9"/>
      <c r="BH41" s="9"/>
      <c r="BI41" s="9"/>
      <c r="BK41" s="263"/>
      <c r="BL41" s="381"/>
      <c r="BM41" s="1035"/>
      <c r="BN41" s="1030"/>
      <c r="BO41" s="1035"/>
      <c r="BP41" s="379"/>
      <c r="BQ41" s="379"/>
    </row>
    <row r="42" spans="1:69" s="175" customFormat="1" ht="13.35" customHeight="1">
      <c r="A42" s="237">
        <v>37</v>
      </c>
      <c r="B42" s="859" t="s">
        <v>2217</v>
      </c>
      <c r="C42" s="859">
        <v>10</v>
      </c>
      <c r="D42" s="703" t="s">
        <v>2218</v>
      </c>
      <c r="E42" s="703" t="s">
        <v>2219</v>
      </c>
      <c r="F42" s="703">
        <v>11.59</v>
      </c>
      <c r="G42" s="859" t="s">
        <v>305</v>
      </c>
      <c r="H42" s="703">
        <v>11.59</v>
      </c>
      <c r="I42" s="703">
        <v>1600</v>
      </c>
      <c r="J42" s="237">
        <v>78</v>
      </c>
      <c r="K42" s="859" t="s">
        <v>1945</v>
      </c>
      <c r="L42" s="859">
        <v>15</v>
      </c>
      <c r="M42" s="859" t="s">
        <v>696</v>
      </c>
      <c r="N42" s="859" t="s">
        <v>697</v>
      </c>
      <c r="O42" s="703">
        <v>12.14</v>
      </c>
      <c r="P42" s="859" t="s">
        <v>305</v>
      </c>
      <c r="Q42" s="703">
        <v>12.14</v>
      </c>
      <c r="R42" s="703">
        <v>150</v>
      </c>
      <c r="S42" s="237">
        <v>119</v>
      </c>
      <c r="T42" s="703" t="s">
        <v>1946</v>
      </c>
      <c r="U42" s="859">
        <v>15</v>
      </c>
      <c r="V42" s="859" t="s">
        <v>1047</v>
      </c>
      <c r="W42" s="859" t="s">
        <v>1048</v>
      </c>
      <c r="X42" s="703">
        <v>12</v>
      </c>
      <c r="Y42" s="859" t="s">
        <v>305</v>
      </c>
      <c r="Z42" s="703">
        <v>12</v>
      </c>
      <c r="AA42" s="703">
        <v>100</v>
      </c>
      <c r="AB42" s="237">
        <v>160</v>
      </c>
      <c r="AC42" s="859" t="s">
        <v>1928</v>
      </c>
      <c r="AD42" s="859">
        <v>20</v>
      </c>
      <c r="AE42" s="703" t="s">
        <v>31</v>
      </c>
      <c r="AF42" s="859" t="s">
        <v>43</v>
      </c>
      <c r="AG42" s="703">
        <v>13.19</v>
      </c>
      <c r="AH42" s="859" t="s">
        <v>305</v>
      </c>
      <c r="AI42" s="703">
        <v>13.19</v>
      </c>
      <c r="AJ42" s="703">
        <v>50</v>
      </c>
      <c r="AK42" s="237">
        <v>201</v>
      </c>
      <c r="AL42" s="859" t="s">
        <v>1929</v>
      </c>
      <c r="AM42" s="859">
        <v>20</v>
      </c>
      <c r="AN42" s="859" t="s">
        <v>1346</v>
      </c>
      <c r="AO42" s="859" t="s">
        <v>1343</v>
      </c>
      <c r="AP42" s="703">
        <v>10.85</v>
      </c>
      <c r="AQ42" s="859" t="s">
        <v>305</v>
      </c>
      <c r="AR42" s="703">
        <v>10.85</v>
      </c>
      <c r="AS42" s="703">
        <v>150</v>
      </c>
      <c r="AT42" s="237">
        <v>242</v>
      </c>
      <c r="AU42" s="847" t="s">
        <v>1930</v>
      </c>
      <c r="AV42" s="847">
        <v>20</v>
      </c>
      <c r="AW42" s="859" t="s">
        <v>1324</v>
      </c>
      <c r="AX42" s="859" t="s">
        <v>1325</v>
      </c>
      <c r="AY42" s="703">
        <v>8.24</v>
      </c>
      <c r="AZ42" s="859" t="s">
        <v>1624</v>
      </c>
      <c r="BA42" s="587">
        <v>7.97</v>
      </c>
      <c r="BB42" s="850">
        <v>2850</v>
      </c>
      <c r="BC42" s="9"/>
      <c r="BD42" s="9"/>
      <c r="BE42" s="9"/>
      <c r="BF42" s="9"/>
      <c r="BG42" s="9"/>
      <c r="BH42" s="9"/>
      <c r="BI42" s="9"/>
      <c r="BK42" s="263"/>
      <c r="BL42" s="381"/>
      <c r="BM42" s="1035"/>
      <c r="BN42" s="1030"/>
      <c r="BO42" s="1035"/>
      <c r="BP42" s="379"/>
      <c r="BQ42" s="379"/>
    </row>
    <row r="43" spans="1:69" s="175" customFormat="1" ht="13.35" customHeight="1">
      <c r="A43" s="785">
        <v>38</v>
      </c>
      <c r="B43" s="886" t="s">
        <v>2182</v>
      </c>
      <c r="C43" s="886">
        <v>10</v>
      </c>
      <c r="D43" s="886" t="s">
        <v>2183</v>
      </c>
      <c r="E43" s="886" t="s">
        <v>2184</v>
      </c>
      <c r="F43" s="919">
        <v>10.92</v>
      </c>
      <c r="G43" s="886" t="s">
        <v>305</v>
      </c>
      <c r="H43" s="919">
        <v>10.92</v>
      </c>
      <c r="I43" s="919">
        <v>1840</v>
      </c>
      <c r="J43" s="785">
        <v>79</v>
      </c>
      <c r="K43" s="886" t="s">
        <v>1955</v>
      </c>
      <c r="L43" s="886">
        <v>15</v>
      </c>
      <c r="M43" s="886" t="s">
        <v>698</v>
      </c>
      <c r="N43" s="886" t="s">
        <v>699</v>
      </c>
      <c r="O43" s="919">
        <v>12.14</v>
      </c>
      <c r="P43" s="886" t="s">
        <v>305</v>
      </c>
      <c r="Q43" s="919">
        <v>12.14</v>
      </c>
      <c r="R43" s="919">
        <v>150</v>
      </c>
      <c r="S43" s="785">
        <v>120</v>
      </c>
      <c r="T43" s="904" t="s">
        <v>1956</v>
      </c>
      <c r="U43" s="904">
        <v>15</v>
      </c>
      <c r="V43" s="904" t="s">
        <v>1049</v>
      </c>
      <c r="W43" s="904" t="s">
        <v>1050</v>
      </c>
      <c r="X43" s="588">
        <v>12.1</v>
      </c>
      <c r="Y43" s="904" t="s">
        <v>305</v>
      </c>
      <c r="Z43" s="588">
        <v>12.1</v>
      </c>
      <c r="AA43" s="588">
        <v>100</v>
      </c>
      <c r="AB43" s="322">
        <v>161</v>
      </c>
      <c r="AC43" s="886" t="s">
        <v>1936</v>
      </c>
      <c r="AD43" s="886">
        <v>20</v>
      </c>
      <c r="AE43" s="919" t="s">
        <v>32</v>
      </c>
      <c r="AF43" s="886" t="s">
        <v>44</v>
      </c>
      <c r="AG43" s="919">
        <v>13.139999999999999</v>
      </c>
      <c r="AH43" s="886" t="s">
        <v>305</v>
      </c>
      <c r="AI43" s="919">
        <v>13.139999999999999</v>
      </c>
      <c r="AJ43" s="919">
        <v>50</v>
      </c>
      <c r="AK43" s="785">
        <v>202</v>
      </c>
      <c r="AL43" s="886" t="s">
        <v>1937</v>
      </c>
      <c r="AM43" s="886">
        <v>20</v>
      </c>
      <c r="AN43" s="886" t="s">
        <v>1344</v>
      </c>
      <c r="AO43" s="886" t="s">
        <v>1347</v>
      </c>
      <c r="AP43" s="919">
        <v>11.5</v>
      </c>
      <c r="AQ43" s="886" t="s">
        <v>305</v>
      </c>
      <c r="AR43" s="919">
        <v>11.5</v>
      </c>
      <c r="AS43" s="919">
        <v>175</v>
      </c>
      <c r="AT43" s="785">
        <v>243</v>
      </c>
      <c r="AU43" s="904" t="s">
        <v>1938</v>
      </c>
      <c r="AV43" s="904">
        <v>20</v>
      </c>
      <c r="AW43" s="886" t="s">
        <v>1671</v>
      </c>
      <c r="AX43" s="886" t="s">
        <v>1673</v>
      </c>
      <c r="AY43" s="919">
        <v>8.24</v>
      </c>
      <c r="AZ43" s="886" t="s">
        <v>1684</v>
      </c>
      <c r="BA43" s="919">
        <v>8.68</v>
      </c>
      <c r="BB43" s="782">
        <v>3000</v>
      </c>
      <c r="BC43" s="68"/>
      <c r="BD43" s="68"/>
      <c r="BE43" s="68"/>
      <c r="BF43" s="68"/>
      <c r="BG43" s="68"/>
      <c r="BH43" s="68"/>
      <c r="BI43" s="68"/>
      <c r="BK43" s="263"/>
      <c r="BL43" s="381"/>
      <c r="BM43" s="1035"/>
      <c r="BN43" s="1030"/>
      <c r="BO43" s="1035"/>
      <c r="BP43" s="859"/>
      <c r="BQ43" s="859"/>
    </row>
    <row r="44" spans="1:69" s="175" customFormat="1" ht="13.35" customHeight="1">
      <c r="A44" s="237">
        <v>39</v>
      </c>
      <c r="B44" s="859" t="s">
        <v>1985</v>
      </c>
      <c r="C44" s="859">
        <v>10</v>
      </c>
      <c r="D44" s="859" t="s">
        <v>1252</v>
      </c>
      <c r="E44" s="859" t="s">
        <v>1253</v>
      </c>
      <c r="F44" s="703">
        <v>10.72</v>
      </c>
      <c r="G44" s="859" t="s">
        <v>1583</v>
      </c>
      <c r="H44" s="703">
        <v>6.84</v>
      </c>
      <c r="I44" s="703">
        <v>2800</v>
      </c>
      <c r="J44" s="237">
        <v>80</v>
      </c>
      <c r="K44" s="859" t="s">
        <v>2185</v>
      </c>
      <c r="L44" s="859">
        <v>15</v>
      </c>
      <c r="M44" s="859" t="s">
        <v>2186</v>
      </c>
      <c r="N44" s="859" t="s">
        <v>2187</v>
      </c>
      <c r="O44" s="703">
        <v>12</v>
      </c>
      <c r="P44" s="859" t="s">
        <v>305</v>
      </c>
      <c r="Q44" s="703">
        <v>12</v>
      </c>
      <c r="R44" s="703">
        <v>150</v>
      </c>
      <c r="S44" s="237">
        <v>121</v>
      </c>
      <c r="T44" s="703" t="s">
        <v>2191</v>
      </c>
      <c r="U44" s="859">
        <v>15</v>
      </c>
      <c r="V44" s="859" t="s">
        <v>2192</v>
      </c>
      <c r="W44" s="859" t="s">
        <v>2193</v>
      </c>
      <c r="X44" s="703">
        <v>12.2</v>
      </c>
      <c r="Y44" s="859" t="s">
        <v>305</v>
      </c>
      <c r="Z44" s="703">
        <v>12.2</v>
      </c>
      <c r="AA44" s="703">
        <v>100</v>
      </c>
      <c r="AB44" s="280">
        <v>162</v>
      </c>
      <c r="AC44" s="859" t="s">
        <v>1941</v>
      </c>
      <c r="AD44" s="859">
        <v>20</v>
      </c>
      <c r="AE44" s="703" t="s">
        <v>33</v>
      </c>
      <c r="AF44" s="859" t="s">
        <v>45</v>
      </c>
      <c r="AG44" s="703">
        <v>13.139999999999999</v>
      </c>
      <c r="AH44" s="859" t="s">
        <v>305</v>
      </c>
      <c r="AI44" s="703">
        <v>13.139999999999999</v>
      </c>
      <c r="AJ44" s="703">
        <v>50</v>
      </c>
      <c r="AK44" s="237">
        <v>203</v>
      </c>
      <c r="AL44" s="859" t="s">
        <v>1942</v>
      </c>
      <c r="AM44" s="859">
        <v>20</v>
      </c>
      <c r="AN44" s="859" t="s">
        <v>1051</v>
      </c>
      <c r="AO44" s="859" t="s">
        <v>1052</v>
      </c>
      <c r="AP44" s="703">
        <v>11.5</v>
      </c>
      <c r="AQ44" s="859" t="s">
        <v>305</v>
      </c>
      <c r="AR44" s="703">
        <v>11.5</v>
      </c>
      <c r="AS44" s="703">
        <v>175</v>
      </c>
      <c r="AT44" s="237">
        <v>244</v>
      </c>
      <c r="AU44" s="1023" t="s">
        <v>1943</v>
      </c>
      <c r="AV44" s="1023">
        <v>20</v>
      </c>
      <c r="AW44" s="859" t="s">
        <v>1689</v>
      </c>
      <c r="AX44" s="859" t="s">
        <v>1690</v>
      </c>
      <c r="AY44" s="703">
        <v>9.2899999999999991</v>
      </c>
      <c r="AZ44" s="859" t="s">
        <v>1872</v>
      </c>
      <c r="BA44" s="703">
        <v>8.77</v>
      </c>
      <c r="BB44" s="850">
        <v>3650</v>
      </c>
      <c r="BC44" s="68"/>
      <c r="BD44" s="68"/>
      <c r="BE44" s="68"/>
      <c r="BF44" s="68"/>
      <c r="BG44" s="68"/>
      <c r="BH44" s="68"/>
      <c r="BI44" s="68"/>
      <c r="BK44" s="263"/>
      <c r="BL44" s="381"/>
      <c r="BM44" s="1035"/>
      <c r="BN44" s="1030"/>
      <c r="BO44" s="1035"/>
      <c r="BP44" s="859"/>
      <c r="BQ44" s="859"/>
    </row>
    <row r="45" spans="1:69" s="175" customFormat="1" ht="13.35" customHeight="1" thickBot="1">
      <c r="A45" s="677">
        <v>40</v>
      </c>
      <c r="B45" s="1026" t="s">
        <v>1993</v>
      </c>
      <c r="C45" s="1026">
        <v>10</v>
      </c>
      <c r="D45" s="1027" t="s">
        <v>1994</v>
      </c>
      <c r="E45" s="1027" t="s">
        <v>1995</v>
      </c>
      <c r="F45" s="1027">
        <v>8.39</v>
      </c>
      <c r="G45" s="1026" t="s">
        <v>1996</v>
      </c>
      <c r="H45" s="1027">
        <v>6.99</v>
      </c>
      <c r="I45" s="1027">
        <v>3000</v>
      </c>
      <c r="J45" s="873">
        <v>81</v>
      </c>
      <c r="K45" s="1026" t="s">
        <v>2188</v>
      </c>
      <c r="L45" s="1026">
        <v>15</v>
      </c>
      <c r="M45" s="1026" t="s">
        <v>2189</v>
      </c>
      <c r="N45" s="1026" t="s">
        <v>2190</v>
      </c>
      <c r="O45" s="1027">
        <v>10.6</v>
      </c>
      <c r="P45" s="1026" t="s">
        <v>305</v>
      </c>
      <c r="Q45" s="1027">
        <v>10.6</v>
      </c>
      <c r="R45" s="1027">
        <v>150</v>
      </c>
      <c r="S45" s="677">
        <v>122</v>
      </c>
      <c r="T45" s="1027" t="s">
        <v>2194</v>
      </c>
      <c r="U45" s="1026">
        <v>15</v>
      </c>
      <c r="V45" s="1026" t="s">
        <v>2195</v>
      </c>
      <c r="W45" s="1026" t="s">
        <v>2196</v>
      </c>
      <c r="X45" s="1027">
        <v>12.3</v>
      </c>
      <c r="Y45" s="1026" t="s">
        <v>305</v>
      </c>
      <c r="Z45" s="1027">
        <v>12.3</v>
      </c>
      <c r="AA45" s="1027">
        <v>100</v>
      </c>
      <c r="AB45" s="873">
        <v>163</v>
      </c>
      <c r="AC45" s="1026" t="s">
        <v>1947</v>
      </c>
      <c r="AD45" s="1026">
        <v>20</v>
      </c>
      <c r="AE45" s="1027" t="s">
        <v>34</v>
      </c>
      <c r="AF45" s="1026" t="s">
        <v>46</v>
      </c>
      <c r="AG45" s="1027">
        <v>13.139999999999999</v>
      </c>
      <c r="AH45" s="1026" t="s">
        <v>305</v>
      </c>
      <c r="AI45" s="1027">
        <v>13.139999999999999</v>
      </c>
      <c r="AJ45" s="1027">
        <v>50</v>
      </c>
      <c r="AK45" s="677">
        <v>204</v>
      </c>
      <c r="AL45" s="1026" t="s">
        <v>1948</v>
      </c>
      <c r="AM45" s="1026">
        <v>20</v>
      </c>
      <c r="AN45" s="1026" t="s">
        <v>1348</v>
      </c>
      <c r="AO45" s="1026" t="s">
        <v>1354</v>
      </c>
      <c r="AP45" s="1027">
        <v>11.5</v>
      </c>
      <c r="AQ45" s="1026" t="s">
        <v>305</v>
      </c>
      <c r="AR45" s="1027">
        <v>11.5</v>
      </c>
      <c r="AS45" s="1027">
        <v>175</v>
      </c>
      <c r="AT45" s="677">
        <v>245</v>
      </c>
      <c r="AU45" s="1037" t="s">
        <v>1949</v>
      </c>
      <c r="AV45" s="1037">
        <v>20</v>
      </c>
      <c r="AW45" s="1026" t="s">
        <v>1950</v>
      </c>
      <c r="AX45" s="1026" t="s">
        <v>1951</v>
      </c>
      <c r="AY45" s="1027">
        <v>9.1999999999999993</v>
      </c>
      <c r="AZ45" s="1026" t="s">
        <v>2394</v>
      </c>
      <c r="BA45" s="1027">
        <v>7.5</v>
      </c>
      <c r="BB45" s="1413">
        <v>4500</v>
      </c>
      <c r="BC45" s="177"/>
      <c r="BD45" s="177"/>
      <c r="BE45" s="177"/>
      <c r="BF45" s="177"/>
      <c r="BG45" s="177"/>
      <c r="BH45" s="177"/>
      <c r="BI45" s="177"/>
      <c r="BL45" s="381"/>
      <c r="BM45" s="1035"/>
      <c r="BN45" s="1030"/>
      <c r="BO45" s="1035"/>
      <c r="BP45" s="379"/>
      <c r="BQ45" s="379"/>
    </row>
    <row r="46" spans="1:69" s="175" customFormat="1" ht="12.95" customHeight="1">
      <c r="A46" s="940" t="s">
        <v>30</v>
      </c>
      <c r="B46" s="601" t="s">
        <v>2072</v>
      </c>
      <c r="C46" s="8"/>
      <c r="D46" s="8"/>
      <c r="E46" s="8"/>
      <c r="J46" s="1169" t="s">
        <v>16</v>
      </c>
      <c r="K46" s="9" t="s">
        <v>1372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40"/>
      <c r="B47" s="601" t="s">
        <v>2667</v>
      </c>
      <c r="C47" s="8"/>
      <c r="D47" s="8"/>
      <c r="E47" s="8"/>
      <c r="F47" s="40"/>
      <c r="G47" s="1038"/>
      <c r="H47" s="1038"/>
      <c r="I47" s="9" t="s">
        <v>2301</v>
      </c>
      <c r="J47" s="175"/>
      <c r="K47" s="1169"/>
      <c r="Q47" s="57"/>
      <c r="R47" s="57"/>
      <c r="T47" s="859"/>
      <c r="U47" s="859"/>
      <c r="V47" s="859"/>
      <c r="W47" s="859"/>
      <c r="X47" s="703"/>
      <c r="Y47" s="859"/>
      <c r="Z47" s="703"/>
      <c r="AA47" s="703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2097</v>
      </c>
      <c r="C48" s="44"/>
      <c r="D48" s="44"/>
      <c r="E48" s="68"/>
      <c r="F48" s="40"/>
      <c r="G48" s="1038"/>
      <c r="H48" s="1038"/>
      <c r="J48" s="175"/>
      <c r="K48" s="1039"/>
      <c r="Q48" s="1056"/>
      <c r="R48" s="1056"/>
      <c r="T48" s="859"/>
      <c r="U48" s="859"/>
      <c r="V48" s="859"/>
      <c r="W48" s="859"/>
      <c r="X48" s="703"/>
      <c r="Y48" s="859"/>
      <c r="Z48" s="703"/>
      <c r="AA48" s="703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82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7"/>
      <c r="C50" s="859"/>
      <c r="D50" s="859"/>
      <c r="E50" s="859"/>
      <c r="F50" s="703"/>
      <c r="G50" s="859"/>
      <c r="H50" s="703"/>
      <c r="I50" s="703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82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9"/>
      <c r="C51" s="859"/>
      <c r="D51" s="859"/>
      <c r="E51" s="859"/>
      <c r="F51" s="703"/>
      <c r="G51" s="859"/>
      <c r="H51" s="703"/>
      <c r="I51" s="703"/>
      <c r="J51" s="287"/>
      <c r="K51" s="188"/>
      <c r="L51" s="188"/>
      <c r="M51" s="188"/>
      <c r="N51" s="188"/>
      <c r="O51" s="188"/>
      <c r="P51" s="188"/>
      <c r="T51" s="859"/>
      <c r="U51" s="859"/>
      <c r="V51" s="859"/>
      <c r="W51" s="859"/>
      <c r="X51" s="703"/>
      <c r="Y51" s="859"/>
      <c r="Z51" s="703"/>
      <c r="AA51" s="703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BJ52" s="264"/>
      <c r="BK52" s="279"/>
      <c r="BL52" s="1433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433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433"/>
      <c r="BM54" s="286"/>
      <c r="BN54" s="264"/>
      <c r="BO54" s="286"/>
      <c r="BP54" s="271"/>
      <c r="BQ54" s="264"/>
    </row>
    <row r="55" spans="2:69" ht="12" customHeight="1">
      <c r="BJ55" s="264"/>
      <c r="BK55" s="279"/>
      <c r="BL55" s="1433"/>
      <c r="BM55" s="286"/>
      <c r="BN55" s="15"/>
      <c r="BO55" s="286"/>
      <c r="BP55" s="271"/>
      <c r="BQ55" s="264"/>
    </row>
    <row r="56" spans="2:69" ht="11.25" customHeight="1">
      <c r="BJ56" s="264"/>
      <c r="BK56" s="279"/>
      <c r="BL56" s="1433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433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K58" s="279"/>
      <c r="BL58" s="1433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K59" s="279"/>
      <c r="BL59" s="1433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79"/>
      <c r="BL60" s="1433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433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433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K63" s="290"/>
      <c r="BL63" s="1433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K64" s="290"/>
      <c r="BL64" s="1433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433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74"/>
      <c r="BL66" s="1433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7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6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6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74"/>
      <c r="BH93" s="274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274"/>
      <c r="BD94" s="274"/>
      <c r="BE94" s="274"/>
      <c r="BF94" s="274"/>
      <c r="BG94" s="274"/>
      <c r="BH94" s="274"/>
      <c r="BI94" s="274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74"/>
      <c r="BD95" s="274"/>
      <c r="BE95" s="274"/>
      <c r="BF95" s="274"/>
      <c r="BG95" s="291"/>
      <c r="BH95" s="291"/>
      <c r="BI95" s="274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177"/>
      <c r="BD96" s="177"/>
      <c r="BE96" s="177"/>
      <c r="BF96" s="177"/>
      <c r="BG96" s="177"/>
      <c r="BH96" s="177"/>
      <c r="BI96" s="177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92"/>
      <c r="BD97" s="292"/>
      <c r="BE97" s="292"/>
      <c r="BF97" s="292"/>
      <c r="BG97" s="292"/>
      <c r="BH97" s="292"/>
      <c r="BI97" s="292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92"/>
      <c r="BD98" s="292"/>
      <c r="BE98" s="292"/>
      <c r="BF98" s="292"/>
      <c r="BG98" s="292"/>
      <c r="BH98" s="292"/>
      <c r="BI98" s="292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274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74"/>
      <c r="BK100" s="290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177"/>
      <c r="BK101" s="290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92"/>
      <c r="BK102" s="293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89"/>
      <c r="BD103" s="289"/>
      <c r="BE103" s="289"/>
      <c r="BF103" s="289"/>
      <c r="BG103" s="289"/>
      <c r="BH103" s="289"/>
      <c r="BI103" s="289"/>
      <c r="BJ103" s="292"/>
      <c r="BK103" s="293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89"/>
      <c r="BD104" s="289"/>
      <c r="BE104" s="289"/>
      <c r="BF104" s="289"/>
      <c r="BG104" s="289"/>
      <c r="BH104" s="289"/>
      <c r="BI104" s="289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1"/>
      <c r="BD107" s="291"/>
      <c r="BE107" s="291"/>
      <c r="BF107" s="291"/>
      <c r="BG107" s="291"/>
      <c r="BH107" s="291"/>
      <c r="BI107" s="291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89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5"/>
      <c r="BD109" s="295"/>
      <c r="BE109" s="295"/>
      <c r="BF109" s="295"/>
      <c r="BG109" s="295"/>
      <c r="BH109" s="295"/>
      <c r="BI109" s="295"/>
      <c r="BJ109" s="289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1"/>
      <c r="BD110" s="291"/>
      <c r="BE110" s="291"/>
      <c r="BF110" s="291"/>
      <c r="BG110" s="291"/>
      <c r="BH110" s="291"/>
      <c r="BI110" s="291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1"/>
      <c r="BK112" s="294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5"/>
      <c r="BK114" s="296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1"/>
      <c r="BK115" s="294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92"/>
      <c r="BD118" s="292"/>
      <c r="BE118" s="292"/>
      <c r="BF118" s="292"/>
      <c r="BG118" s="292"/>
      <c r="BH118" s="292"/>
      <c r="BI118" s="292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92"/>
      <c r="BD119" s="292"/>
      <c r="BE119" s="292"/>
      <c r="BF119" s="292"/>
      <c r="BG119" s="292"/>
      <c r="BH119" s="292"/>
      <c r="BI119" s="292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92"/>
      <c r="BK123" s="293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92"/>
      <c r="BK124" s="293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432"/>
      <c r="C135" s="1432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89"/>
      <c r="BD135" s="289"/>
      <c r="BE135" s="289"/>
      <c r="BF135" s="289"/>
      <c r="BG135" s="289"/>
      <c r="BH135" s="289"/>
      <c r="BI135" s="28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432"/>
      <c r="C136" s="1432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89"/>
      <c r="BD136" s="289"/>
      <c r="BE136" s="289"/>
      <c r="BF136" s="289"/>
      <c r="BG136" s="289"/>
      <c r="BH136" s="289"/>
      <c r="BI136" s="28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432"/>
      <c r="C137" s="1432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432"/>
      <c r="C138" s="1432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432"/>
      <c r="C139" s="1432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432"/>
      <c r="C140" s="1432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89"/>
      <c r="BK140" s="294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432"/>
      <c r="C141" s="1432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89"/>
      <c r="BK141" s="294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432"/>
      <c r="C142" s="1432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432"/>
      <c r="C143" s="1432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432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432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432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299"/>
      <c r="BD146" s="299"/>
      <c r="BE146" s="299"/>
      <c r="BF146" s="299"/>
      <c r="BG146" s="299"/>
      <c r="BH146" s="299"/>
      <c r="BI146" s="299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432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432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301"/>
      <c r="BD150" s="301"/>
      <c r="BE150" s="301"/>
      <c r="BF150" s="301"/>
      <c r="BG150" s="301"/>
      <c r="BH150" s="301"/>
      <c r="BI150" s="301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299"/>
      <c r="BK151" s="300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299"/>
      <c r="BD153" s="299"/>
      <c r="BE153" s="299"/>
      <c r="BF153" s="299"/>
      <c r="BG153" s="299"/>
      <c r="BH153" s="299"/>
      <c r="BI153" s="299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299"/>
      <c r="BD154" s="299"/>
      <c r="BE154" s="299"/>
      <c r="BF154" s="299"/>
      <c r="BG154" s="299"/>
      <c r="BH154" s="299"/>
      <c r="BI154" s="299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301"/>
      <c r="BK155" s="302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177"/>
      <c r="BD157" s="177"/>
      <c r="BE157" s="177"/>
      <c r="BF157" s="177"/>
      <c r="BG157" s="177"/>
      <c r="BH157" s="177"/>
      <c r="BI157" s="177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177"/>
      <c r="BD158" s="177"/>
      <c r="BE158" s="177"/>
      <c r="BF158" s="177"/>
      <c r="BG158" s="177"/>
      <c r="BH158" s="177"/>
      <c r="BI158" s="177"/>
      <c r="BJ158" s="299"/>
      <c r="BK158" s="30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299"/>
      <c r="BK159" s="30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434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243"/>
      <c r="BD168" s="243"/>
      <c r="BE168" s="243"/>
      <c r="BF168" s="243"/>
      <c r="BG168" s="243"/>
      <c r="BH168" s="243"/>
      <c r="BI168" s="243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243"/>
      <c r="BD169" s="243"/>
      <c r="BE169" s="243"/>
      <c r="BF169" s="243"/>
      <c r="BG169" s="243"/>
      <c r="BH169" s="243"/>
      <c r="BI169" s="243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310"/>
      <c r="BD171" s="310"/>
      <c r="BE171" s="310"/>
      <c r="BF171" s="310"/>
      <c r="BG171" s="310"/>
      <c r="BH171" s="310"/>
      <c r="BI171" s="310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310"/>
      <c r="BD172" s="310"/>
      <c r="BE172" s="310"/>
      <c r="BF172" s="310"/>
      <c r="BG172" s="310"/>
      <c r="BH172" s="310"/>
      <c r="BI172" s="310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243"/>
      <c r="BK173" s="288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243"/>
      <c r="BK174" s="288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310"/>
      <c r="BK176" s="311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310"/>
      <c r="BK177" s="311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289"/>
      <c r="BD184" s="289"/>
      <c r="BE184" s="289"/>
      <c r="BF184" s="289"/>
      <c r="BG184" s="289"/>
      <c r="BH184" s="289"/>
      <c r="BI184" s="289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289"/>
      <c r="BD185" s="289"/>
      <c r="BE185" s="289"/>
      <c r="BF185" s="289"/>
      <c r="BG185" s="289"/>
      <c r="BH185" s="289"/>
      <c r="BI185" s="289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289"/>
      <c r="BK189" s="294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432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289"/>
      <c r="BK190" s="294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432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432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AN3:AN4"/>
    <mergeCell ref="AO3:AO4"/>
    <mergeCell ref="AP3:AP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W3:AW4"/>
    <mergeCell ref="AV3:AV4"/>
    <mergeCell ref="AS3:AS4"/>
    <mergeCell ref="AT3:AT4"/>
    <mergeCell ref="AU3:AU4"/>
    <mergeCell ref="AX3:AX4"/>
    <mergeCell ref="AY3:AY4"/>
    <mergeCell ref="AZ3:AZ4"/>
    <mergeCell ref="BA3:BA4"/>
    <mergeCell ref="BC10:BG10"/>
  </mergeCells>
  <pageMargins left="0.62992125984252001" right="0.511811023622047" top="0.39370078740157499" bottom="0.511811023622047" header="0.25" footer="0"/>
  <pageSetup paperSize="145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L34" activePane="bottomRight" state="frozen"/>
      <selection activeCell="F85" sqref="F85"/>
      <selection pane="topRight" activeCell="F85" sqref="F85"/>
      <selection pane="bottomLeft" activeCell="F85" sqref="F85"/>
      <selection pane="bottomRight" activeCell="H49" sqref="H49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107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199" t="s">
        <v>1741</v>
      </c>
      <c r="B1" s="2199"/>
      <c r="C1" s="2199"/>
      <c r="D1" s="2199"/>
      <c r="E1" s="2199"/>
      <c r="F1" s="2199"/>
      <c r="G1" s="2199"/>
      <c r="H1" s="2199"/>
      <c r="I1" s="2199"/>
      <c r="J1" s="2198" t="s">
        <v>1740</v>
      </c>
      <c r="K1" s="2198"/>
      <c r="L1" s="2198"/>
      <c r="M1" s="2198"/>
      <c r="N1" s="2198"/>
      <c r="O1" s="2198"/>
      <c r="P1" s="2198"/>
      <c r="Q1" s="2198"/>
      <c r="R1" s="2198"/>
      <c r="S1" s="1397"/>
      <c r="T1" s="2200" t="s">
        <v>1744</v>
      </c>
      <c r="U1" s="2200"/>
      <c r="V1" s="2200"/>
    </row>
    <row r="2" spans="1:23" s="84" customFormat="1" ht="48" customHeight="1">
      <c r="A2" s="2202" t="s">
        <v>25</v>
      </c>
      <c r="B2" s="2203"/>
      <c r="C2" s="2203"/>
      <c r="D2" s="2204"/>
      <c r="E2" s="1099" t="s">
        <v>964</v>
      </c>
      <c r="F2" s="1099" t="s">
        <v>965</v>
      </c>
      <c r="G2" s="1099" t="s">
        <v>966</v>
      </c>
      <c r="H2" s="1099" t="s">
        <v>2084</v>
      </c>
      <c r="I2" s="1099" t="s">
        <v>2083</v>
      </c>
      <c r="J2" s="1099" t="s">
        <v>967</v>
      </c>
      <c r="K2" s="1099" t="s">
        <v>968</v>
      </c>
      <c r="L2" s="1099" t="s">
        <v>957</v>
      </c>
      <c r="M2" s="1099" t="s">
        <v>969</v>
      </c>
      <c r="N2" s="1099" t="s">
        <v>970</v>
      </c>
      <c r="O2" s="1395" t="s">
        <v>971</v>
      </c>
      <c r="P2" s="1099" t="s">
        <v>972</v>
      </c>
      <c r="Q2" s="946" t="s">
        <v>1254</v>
      </c>
      <c r="R2" s="1099" t="s">
        <v>1738</v>
      </c>
      <c r="S2" s="1395" t="s">
        <v>1739</v>
      </c>
      <c r="T2" s="1099" t="s">
        <v>1761</v>
      </c>
      <c r="U2" s="1395" t="s">
        <v>2407</v>
      </c>
      <c r="V2" s="1396" t="s">
        <v>2408</v>
      </c>
    </row>
    <row r="3" spans="1:23" s="84" customFormat="1" ht="10.5" customHeight="1">
      <c r="A3" s="2205"/>
      <c r="B3" s="2206"/>
      <c r="C3" s="2206"/>
      <c r="D3" s="2207"/>
      <c r="E3" s="1099">
        <v>1</v>
      </c>
      <c r="F3" s="1099">
        <v>2</v>
      </c>
      <c r="G3" s="1099">
        <v>3</v>
      </c>
      <c r="H3" s="1099">
        <v>4</v>
      </c>
      <c r="I3" s="1099">
        <v>5</v>
      </c>
      <c r="J3" s="1099">
        <v>6</v>
      </c>
      <c r="K3" s="1099">
        <v>7</v>
      </c>
      <c r="L3" s="1099">
        <v>8</v>
      </c>
      <c r="M3" s="1099">
        <v>9</v>
      </c>
      <c r="N3" s="1099">
        <v>10</v>
      </c>
      <c r="O3" s="1099">
        <v>11</v>
      </c>
      <c r="P3" s="1099">
        <v>12</v>
      </c>
      <c r="Q3" s="1099">
        <v>13</v>
      </c>
      <c r="R3" s="1099">
        <v>14</v>
      </c>
      <c r="S3" s="1395">
        <v>15</v>
      </c>
      <c r="T3" s="1099">
        <v>16</v>
      </c>
      <c r="U3" s="1099">
        <v>17</v>
      </c>
      <c r="V3" s="1099">
        <v>18</v>
      </c>
      <c r="W3" s="73"/>
    </row>
    <row r="4" spans="1:23" s="53" customFormat="1" ht="13.5" customHeight="1">
      <c r="A4" s="456" t="s">
        <v>82</v>
      </c>
      <c r="B4" s="2195" t="s">
        <v>83</v>
      </c>
      <c r="C4" s="2195"/>
      <c r="D4" s="2195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550</v>
      </c>
      <c r="B5" s="2228" t="s">
        <v>958</v>
      </c>
      <c r="C5" s="2228"/>
      <c r="D5" s="22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195" t="s">
        <v>1028</v>
      </c>
      <c r="B6" s="2195"/>
      <c r="C6" s="2195"/>
      <c r="D6" s="2195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229" t="s">
        <v>944</v>
      </c>
      <c r="C7" s="2229"/>
      <c r="D7" s="2229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10" t="s">
        <v>954</v>
      </c>
      <c r="C8" s="2210"/>
      <c r="D8" s="2210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09" t="s">
        <v>953</v>
      </c>
      <c r="D9" s="2209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25" t="s">
        <v>952</v>
      </c>
      <c r="D10" s="2225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09" t="s">
        <v>951</v>
      </c>
      <c r="D11" s="2209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2409</v>
      </c>
      <c r="Q11" s="275" t="s">
        <v>2409</v>
      </c>
      <c r="R11" s="275" t="s">
        <v>2419</v>
      </c>
      <c r="S11" s="275" t="s">
        <v>2420</v>
      </c>
      <c r="T11" s="275" t="s">
        <v>2419</v>
      </c>
      <c r="U11" s="275" t="s">
        <v>2419</v>
      </c>
      <c r="V11" s="275" t="s">
        <v>2419</v>
      </c>
    </row>
    <row r="12" spans="1:23" s="426" customFormat="1" ht="12.75" customHeight="1">
      <c r="A12" s="467"/>
      <c r="B12" s="2210" t="s">
        <v>947</v>
      </c>
      <c r="C12" s="2210"/>
      <c r="D12" s="2210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229" t="s">
        <v>953</v>
      </c>
      <c r="D13" s="2229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30" t="s">
        <v>952</v>
      </c>
      <c r="D14" s="2230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229" t="s">
        <v>951</v>
      </c>
      <c r="D15" s="2229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11" t="s">
        <v>1029</v>
      </c>
      <c r="B16" s="2211"/>
      <c r="C16" s="2211"/>
      <c r="D16" s="2211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27" t="s">
        <v>959</v>
      </c>
      <c r="C17" s="2227"/>
      <c r="D17" s="2227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2410</v>
      </c>
      <c r="Q17" s="281" t="s">
        <v>2410</v>
      </c>
      <c r="R17" s="281" t="s">
        <v>2421</v>
      </c>
      <c r="S17" s="281" t="s">
        <v>2421</v>
      </c>
      <c r="T17" s="281" t="s">
        <v>2421</v>
      </c>
      <c r="U17" s="281" t="s">
        <v>2421</v>
      </c>
      <c r="V17" s="281" t="s">
        <v>2421</v>
      </c>
    </row>
    <row r="18" spans="1:22" s="425" customFormat="1" ht="12" customHeight="1">
      <c r="A18" s="460"/>
      <c r="B18" s="2226" t="s">
        <v>960</v>
      </c>
      <c r="C18" s="2226"/>
      <c r="D18" s="2226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2411</v>
      </c>
      <c r="Q18" s="318" t="s">
        <v>2411</v>
      </c>
      <c r="R18" s="318" t="s">
        <v>2422</v>
      </c>
      <c r="S18" s="318" t="s">
        <v>2422</v>
      </c>
      <c r="T18" s="318" t="s">
        <v>2422</v>
      </c>
      <c r="U18" s="318" t="s">
        <v>2422</v>
      </c>
      <c r="V18" s="318" t="s">
        <v>2422</v>
      </c>
    </row>
    <row r="19" spans="1:22" s="425" customFormat="1" ht="12" customHeight="1">
      <c r="A19" s="461"/>
      <c r="B19" s="2208" t="s">
        <v>961</v>
      </c>
      <c r="C19" s="2208"/>
      <c r="D19" s="2208"/>
      <c r="E19" s="530" t="s">
        <v>630</v>
      </c>
      <c r="F19" s="530" t="s">
        <v>630</v>
      </c>
      <c r="G19" s="530" t="s">
        <v>630</v>
      </c>
      <c r="H19" s="530" t="s">
        <v>630</v>
      </c>
      <c r="I19" s="530" t="s">
        <v>630</v>
      </c>
      <c r="J19" s="530" t="s">
        <v>630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2411</v>
      </c>
      <c r="Q19" s="281" t="s">
        <v>2411</v>
      </c>
      <c r="R19" s="281" t="s">
        <v>2423</v>
      </c>
      <c r="S19" s="281" t="s">
        <v>2423</v>
      </c>
      <c r="T19" s="281" t="s">
        <v>2423</v>
      </c>
      <c r="U19" s="281" t="s">
        <v>2423</v>
      </c>
      <c r="V19" s="281" t="s">
        <v>2423</v>
      </c>
    </row>
    <row r="20" spans="1:22" s="425" customFormat="1" ht="12.75" customHeight="1">
      <c r="A20" s="460"/>
      <c r="B20" s="2213" t="s">
        <v>962</v>
      </c>
      <c r="C20" s="2213"/>
      <c r="D20" s="2213"/>
      <c r="E20" s="531" t="s">
        <v>630</v>
      </c>
      <c r="F20" s="531" t="s">
        <v>630</v>
      </c>
      <c r="G20" s="531" t="s">
        <v>630</v>
      </c>
      <c r="H20" s="531" t="s">
        <v>630</v>
      </c>
      <c r="I20" s="531" t="s">
        <v>630</v>
      </c>
      <c r="J20" s="531" t="s">
        <v>630</v>
      </c>
      <c r="K20" s="531" t="s">
        <v>630</v>
      </c>
      <c r="L20" s="531" t="s">
        <v>630</v>
      </c>
      <c r="M20" s="531" t="s">
        <v>630</v>
      </c>
      <c r="N20" s="531">
        <v>11.04</v>
      </c>
      <c r="O20" s="323">
        <v>11.04</v>
      </c>
      <c r="P20" s="323" t="s">
        <v>2412</v>
      </c>
      <c r="Q20" s="322" t="s">
        <v>2412</v>
      </c>
      <c r="R20" s="322" t="s">
        <v>2424</v>
      </c>
      <c r="S20" s="322" t="s">
        <v>2424</v>
      </c>
      <c r="T20" s="322" t="s">
        <v>2424</v>
      </c>
      <c r="U20" s="322" t="s">
        <v>2424</v>
      </c>
      <c r="V20" s="322" t="s">
        <v>2424</v>
      </c>
    </row>
    <row r="21" spans="1:22" s="425" customFormat="1" ht="12.75" customHeight="1">
      <c r="A21" s="2212" t="s">
        <v>1499</v>
      </c>
      <c r="B21" s="2212"/>
      <c r="C21" s="2212"/>
      <c r="D21" s="2212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201" t="s">
        <v>938</v>
      </c>
      <c r="D22" s="2201"/>
      <c r="E22" s="455" t="s">
        <v>937</v>
      </c>
      <c r="F22" s="455" t="s">
        <v>937</v>
      </c>
      <c r="G22" s="455" t="s">
        <v>937</v>
      </c>
      <c r="H22" s="455" t="s">
        <v>937</v>
      </c>
      <c r="I22" s="455" t="s">
        <v>937</v>
      </c>
      <c r="J22" s="455" t="s">
        <v>937</v>
      </c>
      <c r="K22" s="455" t="s">
        <v>937</v>
      </c>
      <c r="L22" s="455" t="s">
        <v>937</v>
      </c>
      <c r="M22" s="455" t="s">
        <v>937</v>
      </c>
      <c r="N22" s="455" t="s">
        <v>937</v>
      </c>
      <c r="O22" s="455" t="s">
        <v>937</v>
      </c>
      <c r="P22" s="455" t="s">
        <v>937</v>
      </c>
      <c r="Q22" s="455" t="s">
        <v>937</v>
      </c>
      <c r="R22" s="455" t="s">
        <v>937</v>
      </c>
      <c r="S22" s="455" t="s">
        <v>937</v>
      </c>
      <c r="T22" s="455" t="s">
        <v>937</v>
      </c>
      <c r="U22" s="455" t="s">
        <v>937</v>
      </c>
      <c r="V22" s="455" t="s">
        <v>937</v>
      </c>
    </row>
    <row r="23" spans="1:22" s="425" customFormat="1" ht="12.75" customHeight="1">
      <c r="A23" s="461"/>
      <c r="B23" s="182"/>
      <c r="C23" s="2217" t="s">
        <v>939</v>
      </c>
      <c r="D23" s="2217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201" t="s">
        <v>940</v>
      </c>
      <c r="D24" s="2201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217" t="s">
        <v>941</v>
      </c>
      <c r="D25" s="2217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232" t="s">
        <v>942</v>
      </c>
      <c r="D26" s="2232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233" t="s">
        <v>943</v>
      </c>
      <c r="D27" s="2233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2413</v>
      </c>
      <c r="P27" s="30" t="s">
        <v>2413</v>
      </c>
      <c r="Q27" s="30" t="s">
        <v>2425</v>
      </c>
      <c r="R27" s="30" t="s">
        <v>2425</v>
      </c>
      <c r="S27" s="30" t="s">
        <v>2425</v>
      </c>
      <c r="T27" s="30" t="s">
        <v>2425</v>
      </c>
      <c r="U27" s="30" t="s">
        <v>2425</v>
      </c>
      <c r="V27" s="30" t="s">
        <v>2425</v>
      </c>
    </row>
    <row r="28" spans="1:22" s="425" customFormat="1">
      <c r="A28" s="2231" t="s">
        <v>1500</v>
      </c>
      <c r="B28" s="2231"/>
      <c r="C28" s="2231"/>
      <c r="D28" s="2231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16" t="s">
        <v>948</v>
      </c>
      <c r="D29" s="2216"/>
      <c r="E29" s="275" t="s">
        <v>630</v>
      </c>
      <c r="F29" s="275" t="s">
        <v>630</v>
      </c>
      <c r="G29" s="275" t="s">
        <v>630</v>
      </c>
      <c r="H29" s="1503" t="s">
        <v>935</v>
      </c>
      <c r="I29" s="465" t="s">
        <v>935</v>
      </c>
      <c r="J29" s="465" t="s">
        <v>935</v>
      </c>
      <c r="K29" s="465" t="s">
        <v>935</v>
      </c>
      <c r="L29" s="465" t="s">
        <v>935</v>
      </c>
      <c r="M29" s="465" t="s">
        <v>935</v>
      </c>
      <c r="N29" s="465" t="s">
        <v>935</v>
      </c>
      <c r="O29" s="465" t="s">
        <v>935</v>
      </c>
      <c r="P29" s="465" t="s">
        <v>935</v>
      </c>
      <c r="Q29" s="465" t="s">
        <v>935</v>
      </c>
      <c r="R29" s="465" t="s">
        <v>935</v>
      </c>
      <c r="S29" s="465" t="s">
        <v>935</v>
      </c>
      <c r="T29" s="465" t="s">
        <v>935</v>
      </c>
      <c r="U29" s="465" t="s">
        <v>935</v>
      </c>
      <c r="V29" s="465" t="s">
        <v>935</v>
      </c>
    </row>
    <row r="30" spans="1:22" s="425" customFormat="1" ht="12.75" customHeight="1">
      <c r="A30" s="458"/>
      <c r="B30" s="433"/>
      <c r="C30" s="2201" t="s">
        <v>949</v>
      </c>
      <c r="D30" s="2201"/>
      <c r="E30" s="349" t="s">
        <v>630</v>
      </c>
      <c r="F30" s="349" t="s">
        <v>630</v>
      </c>
      <c r="G30" s="349" t="s">
        <v>630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217" t="s">
        <v>950</v>
      </c>
      <c r="D31" s="2217"/>
      <c r="E31" s="275" t="s">
        <v>630</v>
      </c>
      <c r="F31" s="275" t="s">
        <v>630</v>
      </c>
      <c r="G31" s="275" t="s">
        <v>630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18" t="s">
        <v>963</v>
      </c>
      <c r="D32" s="2218"/>
      <c r="E32" s="349" t="s">
        <v>630</v>
      </c>
      <c r="F32" s="349" t="s">
        <v>630</v>
      </c>
      <c r="G32" s="349" t="s">
        <v>630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22" t="s">
        <v>1501</v>
      </c>
      <c r="B33" s="2222"/>
      <c r="C33" s="2222"/>
      <c r="D33" s="2222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18" t="s">
        <v>948</v>
      </c>
      <c r="D34" s="2218"/>
      <c r="E34" s="349" t="s">
        <v>630</v>
      </c>
      <c r="F34" s="349" t="s">
        <v>630</v>
      </c>
      <c r="G34" s="349" t="s">
        <v>630</v>
      </c>
      <c r="H34" s="1504" t="s">
        <v>936</v>
      </c>
      <c r="I34" s="454" t="s">
        <v>936</v>
      </c>
      <c r="J34" s="454" t="s">
        <v>936</v>
      </c>
      <c r="K34" s="454" t="s">
        <v>936</v>
      </c>
      <c r="L34" s="454" t="s">
        <v>936</v>
      </c>
      <c r="M34" s="454" t="s">
        <v>936</v>
      </c>
      <c r="N34" s="454" t="s">
        <v>936</v>
      </c>
      <c r="O34" s="454" t="s">
        <v>936</v>
      </c>
      <c r="P34" s="454" t="s">
        <v>936</v>
      </c>
      <c r="Q34" s="454" t="s">
        <v>936</v>
      </c>
      <c r="R34" s="454" t="s">
        <v>936</v>
      </c>
      <c r="S34" s="454" t="s">
        <v>936</v>
      </c>
      <c r="T34" s="454" t="s">
        <v>936</v>
      </c>
      <c r="U34" s="454" t="s">
        <v>936</v>
      </c>
      <c r="V34" s="454" t="s">
        <v>936</v>
      </c>
    </row>
    <row r="35" spans="1:22" s="182" customFormat="1" ht="12.75" customHeight="1">
      <c r="A35" s="466"/>
      <c r="C35" s="2217" t="s">
        <v>949</v>
      </c>
      <c r="D35" s="2217"/>
      <c r="E35" s="275" t="s">
        <v>630</v>
      </c>
      <c r="F35" s="275" t="s">
        <v>630</v>
      </c>
      <c r="G35" s="275" t="s">
        <v>630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201" t="s">
        <v>950</v>
      </c>
      <c r="D36" s="2201"/>
      <c r="E36" s="349" t="s">
        <v>630</v>
      </c>
      <c r="F36" s="349" t="s">
        <v>630</v>
      </c>
      <c r="G36" s="349" t="s">
        <v>630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224" t="s">
        <v>963</v>
      </c>
      <c r="D37" s="2224"/>
      <c r="E37" s="275" t="s">
        <v>630</v>
      </c>
      <c r="F37" s="275" t="s">
        <v>630</v>
      </c>
      <c r="G37" s="275" t="s">
        <v>630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20" t="s">
        <v>973</v>
      </c>
      <c r="C38" s="2220"/>
      <c r="D38" s="2220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223" t="s">
        <v>945</v>
      </c>
      <c r="C39" s="2223"/>
      <c r="D39" s="2223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21" t="s">
        <v>296</v>
      </c>
      <c r="D40" s="2221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19" t="s">
        <v>295</v>
      </c>
      <c r="D41" s="2219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15" t="s">
        <v>946</v>
      </c>
      <c r="C42" s="2215"/>
      <c r="D42" s="2215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214" t="s">
        <v>1552</v>
      </c>
      <c r="D43" s="2214"/>
      <c r="E43" s="1110"/>
      <c r="F43" s="1110"/>
      <c r="G43" s="1110"/>
      <c r="K43" s="476" t="s">
        <v>2414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214" t="s">
        <v>1502</v>
      </c>
      <c r="D44" s="2214"/>
      <c r="E44" s="2214"/>
      <c r="F44" s="2214"/>
      <c r="G44" s="2214"/>
      <c r="K44" s="476" t="s">
        <v>2415</v>
      </c>
      <c r="L44" s="142"/>
      <c r="M44" s="142"/>
      <c r="N44" s="474"/>
    </row>
    <row r="45" spans="1:22" s="310" customFormat="1" ht="9.75" customHeight="1">
      <c r="A45" s="473"/>
      <c r="B45" s="311"/>
      <c r="C45" s="2214" t="s">
        <v>1553</v>
      </c>
      <c r="D45" s="2214"/>
      <c r="E45" s="474"/>
      <c r="F45" s="474"/>
      <c r="G45" s="474"/>
      <c r="K45" s="476" t="s">
        <v>2416</v>
      </c>
    </row>
    <row r="46" spans="1:22" s="310" customFormat="1" ht="9.75" customHeight="1">
      <c r="A46" s="473"/>
      <c r="B46" s="311"/>
      <c r="C46" s="1398"/>
      <c r="D46" s="142" t="s">
        <v>500</v>
      </c>
      <c r="F46" s="474"/>
      <c r="G46" s="474"/>
      <c r="H46" s="474"/>
      <c r="K46" s="476" t="s">
        <v>2417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2418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45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H34" zoomScale="170" zoomScaleNormal="170" workbookViewId="0">
      <pane xSplit="21345" topLeftCell="G1"/>
      <selection activeCell="AO44" sqref="AO44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2088</v>
      </c>
      <c r="B1" s="1836" t="s">
        <v>898</v>
      </c>
      <c r="C1" s="1836"/>
      <c r="D1" s="1836"/>
      <c r="E1" s="1836"/>
      <c r="F1" s="1836"/>
      <c r="G1" s="1836"/>
      <c r="H1" s="1836"/>
      <c r="I1" s="1836"/>
      <c r="J1" s="1836"/>
      <c r="K1" s="2239" t="s">
        <v>2669</v>
      </c>
      <c r="L1" s="2239"/>
      <c r="M1" s="2239"/>
      <c r="N1" s="2239"/>
      <c r="O1" s="2239"/>
      <c r="P1" s="2239"/>
      <c r="Q1" s="2239"/>
      <c r="R1" s="1054"/>
      <c r="S1" s="1458" t="s">
        <v>1204</v>
      </c>
      <c r="T1" s="1458"/>
      <c r="U1" s="1836" t="s">
        <v>2109</v>
      </c>
      <c r="V1" s="1836"/>
      <c r="W1" s="1836"/>
      <c r="X1" s="1836"/>
      <c r="Y1" s="1836"/>
      <c r="Z1" s="1836"/>
      <c r="AA1" s="1836"/>
      <c r="AB1" s="1836"/>
      <c r="AC1" s="2239" t="s">
        <v>2670</v>
      </c>
      <c r="AD1" s="2239"/>
      <c r="AE1" s="2239"/>
      <c r="AF1" s="2239"/>
      <c r="AG1" s="2239"/>
      <c r="AH1" s="1437"/>
      <c r="AI1" s="2240" t="s">
        <v>1204</v>
      </c>
      <c r="AJ1" s="2240"/>
      <c r="AK1" s="1836" t="s">
        <v>2110</v>
      </c>
      <c r="AL1" s="1836"/>
      <c r="AM1" s="1836"/>
      <c r="AN1" s="1836"/>
      <c r="AO1" s="1836"/>
      <c r="AP1" s="1836"/>
      <c r="AQ1" s="1836"/>
      <c r="AR1" s="1836"/>
      <c r="AS1" s="2239" t="s">
        <v>2671</v>
      </c>
      <c r="AT1" s="2239"/>
      <c r="AU1" s="2239"/>
      <c r="AV1" s="2239"/>
      <c r="AW1" s="2239"/>
      <c r="AX1" s="2239"/>
      <c r="AY1" s="1444"/>
      <c r="AZ1" s="2259" t="s">
        <v>1204</v>
      </c>
      <c r="BA1" s="2259"/>
      <c r="BC1" s="881"/>
      <c r="BD1" s="1836" t="s">
        <v>898</v>
      </c>
      <c r="BE1" s="1836"/>
      <c r="BF1" s="1836"/>
      <c r="BG1" s="1836"/>
      <c r="BH1" s="2239" t="s">
        <v>2670</v>
      </c>
      <c r="BI1" s="2239"/>
      <c r="BJ1" s="2239"/>
      <c r="BK1" s="2239"/>
      <c r="BL1" s="1444"/>
      <c r="BM1" s="2240" t="s">
        <v>1205</v>
      </c>
      <c r="BN1" s="2240"/>
    </row>
    <row r="2" spans="1:66" ht="11.25" customHeight="1">
      <c r="C2" s="882"/>
      <c r="D2" s="882"/>
      <c r="E2" s="882"/>
      <c r="F2" s="882"/>
      <c r="G2" s="882"/>
      <c r="H2" s="882"/>
      <c r="I2" s="882"/>
      <c r="J2" s="882"/>
      <c r="K2" s="882"/>
      <c r="L2" s="2242"/>
      <c r="M2" s="2242"/>
      <c r="N2" s="883"/>
      <c r="O2" s="883"/>
      <c r="P2" s="883"/>
      <c r="Q2" s="883"/>
      <c r="S2" s="1363"/>
      <c r="T2" s="1441" t="s">
        <v>551</v>
      </c>
      <c r="Y2" s="2266"/>
      <c r="Z2" s="2266"/>
      <c r="AA2" s="1443"/>
      <c r="AB2" s="1443"/>
      <c r="AC2" s="1443"/>
      <c r="AD2" s="1443"/>
      <c r="AE2" s="1443"/>
      <c r="AF2" s="1443"/>
      <c r="AG2" s="883"/>
      <c r="AI2" s="1363"/>
      <c r="AJ2" s="1441" t="s">
        <v>551</v>
      </c>
      <c r="AK2" s="1363"/>
      <c r="AL2" s="1441"/>
      <c r="AM2" s="882"/>
      <c r="AN2" s="882"/>
      <c r="AO2" s="1446"/>
      <c r="AP2" s="1443"/>
      <c r="AQ2" s="1443"/>
      <c r="AR2" s="1443"/>
      <c r="AS2" s="1443"/>
      <c r="AT2" s="1443"/>
      <c r="AU2" s="1443"/>
      <c r="AV2" s="883"/>
      <c r="AW2" s="883"/>
      <c r="AX2" s="883"/>
      <c r="AY2" s="883"/>
      <c r="AZ2" s="1363"/>
      <c r="BA2" s="1441" t="s">
        <v>551</v>
      </c>
      <c r="BD2" s="882"/>
      <c r="BE2" s="882"/>
      <c r="BF2" s="2241"/>
      <c r="BG2" s="2241"/>
      <c r="BH2" s="2242"/>
      <c r="BI2" s="2242"/>
      <c r="BJ2" s="2242"/>
      <c r="BK2" s="883"/>
      <c r="BL2" s="883"/>
      <c r="BM2" s="1363"/>
      <c r="BN2" s="1441" t="s">
        <v>551</v>
      </c>
    </row>
    <row r="3" spans="1:66" s="884" customFormat="1" ht="13.5" customHeight="1">
      <c r="A3" s="2252" t="s">
        <v>145</v>
      </c>
      <c r="B3" s="2247"/>
      <c r="C3" s="2243" t="s">
        <v>97</v>
      </c>
      <c r="D3" s="2244"/>
      <c r="E3" s="2244"/>
      <c r="F3" s="2244"/>
      <c r="G3" s="2244"/>
      <c r="H3" s="2245"/>
      <c r="I3" s="2263" t="s">
        <v>2375</v>
      </c>
      <c r="J3" s="2264"/>
      <c r="K3" s="2265"/>
      <c r="L3" s="2243" t="s">
        <v>147</v>
      </c>
      <c r="M3" s="2244"/>
      <c r="N3" s="2244"/>
      <c r="O3" s="2244"/>
      <c r="P3" s="2244"/>
      <c r="Q3" s="2244"/>
      <c r="R3" s="2245"/>
      <c r="S3" s="2252" t="s">
        <v>145</v>
      </c>
      <c r="T3" s="2247"/>
      <c r="U3" s="2252" t="s">
        <v>145</v>
      </c>
      <c r="V3" s="2247"/>
      <c r="W3" s="2243" t="s">
        <v>647</v>
      </c>
      <c r="X3" s="2244"/>
      <c r="Y3" s="2244"/>
      <c r="Z3" s="2244"/>
      <c r="AA3" s="2244"/>
      <c r="AB3" s="2244"/>
      <c r="AC3" s="2244"/>
      <c r="AD3" s="2244"/>
      <c r="AE3" s="2244"/>
      <c r="AF3" s="2244"/>
      <c r="AG3" s="2244"/>
      <c r="AH3" s="2245"/>
      <c r="AI3" s="2252" t="s">
        <v>145</v>
      </c>
      <c r="AJ3" s="2247"/>
      <c r="AK3" s="2253" t="s">
        <v>145</v>
      </c>
      <c r="AL3" s="2254"/>
      <c r="AM3" s="2243" t="s">
        <v>647</v>
      </c>
      <c r="AN3" s="2244"/>
      <c r="AO3" s="2244"/>
      <c r="AP3" s="2244"/>
      <c r="AQ3" s="2244"/>
      <c r="AR3" s="2244"/>
      <c r="AS3" s="2244"/>
      <c r="AT3" s="2244"/>
      <c r="AU3" s="2244"/>
      <c r="AV3" s="2244"/>
      <c r="AW3" s="2244"/>
      <c r="AX3" s="2244"/>
      <c r="AY3" s="2245"/>
      <c r="AZ3" s="2246" t="s">
        <v>145</v>
      </c>
      <c r="BA3" s="2247"/>
      <c r="BB3" s="2252" t="s">
        <v>145</v>
      </c>
      <c r="BC3" s="2247"/>
      <c r="BD3" s="2243" t="s">
        <v>648</v>
      </c>
      <c r="BE3" s="2244"/>
      <c r="BF3" s="2244"/>
      <c r="BG3" s="2244"/>
      <c r="BH3" s="2244"/>
      <c r="BI3" s="2244"/>
      <c r="BJ3" s="2244"/>
      <c r="BK3" s="2244"/>
      <c r="BL3" s="2245"/>
      <c r="BM3" s="2252" t="s">
        <v>145</v>
      </c>
      <c r="BN3" s="2247"/>
    </row>
    <row r="4" spans="1:66" s="274" customFormat="1" ht="24" customHeight="1">
      <c r="A4" s="2248"/>
      <c r="B4" s="2249"/>
      <c r="C4" s="1486" t="s">
        <v>1626</v>
      </c>
      <c r="D4" s="1486" t="s">
        <v>1627</v>
      </c>
      <c r="E4" s="1486" t="s">
        <v>1628</v>
      </c>
      <c r="F4" s="1486" t="s">
        <v>1629</v>
      </c>
      <c r="G4" s="1486" t="s">
        <v>1630</v>
      </c>
      <c r="H4" s="1486" t="s">
        <v>504</v>
      </c>
      <c r="I4" s="1486" t="s">
        <v>1469</v>
      </c>
      <c r="J4" s="1487" t="s">
        <v>148</v>
      </c>
      <c r="K4" s="1486" t="s">
        <v>2089</v>
      </c>
      <c r="L4" s="1529" t="s">
        <v>1631</v>
      </c>
      <c r="M4" s="1486" t="s">
        <v>149</v>
      </c>
      <c r="N4" s="1486" t="s">
        <v>1632</v>
      </c>
      <c r="O4" s="1486" t="s">
        <v>1633</v>
      </c>
      <c r="P4" s="1486" t="s">
        <v>1634</v>
      </c>
      <c r="Q4" s="1529" t="s">
        <v>1635</v>
      </c>
      <c r="R4" s="1486" t="s">
        <v>1636</v>
      </c>
      <c r="S4" s="2248"/>
      <c r="T4" s="2249"/>
      <c r="U4" s="2248"/>
      <c r="V4" s="2249"/>
      <c r="W4" s="1486" t="s">
        <v>1637</v>
      </c>
      <c r="X4" s="1486" t="s">
        <v>171</v>
      </c>
      <c r="Y4" s="1486" t="s">
        <v>1638</v>
      </c>
      <c r="Z4" s="1486" t="s">
        <v>1639</v>
      </c>
      <c r="AA4" s="1486" t="s">
        <v>172</v>
      </c>
      <c r="AB4" s="1486" t="s">
        <v>1640</v>
      </c>
      <c r="AC4" s="1486" t="s">
        <v>1641</v>
      </c>
      <c r="AD4" s="1486" t="s">
        <v>1642</v>
      </c>
      <c r="AE4" s="1486" t="s">
        <v>1643</v>
      </c>
      <c r="AF4" s="1529" t="s">
        <v>1681</v>
      </c>
      <c r="AG4" s="1486" t="s">
        <v>1644</v>
      </c>
      <c r="AH4" s="1486" t="s">
        <v>1645</v>
      </c>
      <c r="AI4" s="2248"/>
      <c r="AJ4" s="2249"/>
      <c r="AK4" s="2255"/>
      <c r="AL4" s="2256"/>
      <c r="AM4" s="1488" t="s">
        <v>1646</v>
      </c>
      <c r="AN4" s="1488" t="s">
        <v>1647</v>
      </c>
      <c r="AO4" s="1488" t="s">
        <v>1648</v>
      </c>
      <c r="AP4" s="1488" t="s">
        <v>1649</v>
      </c>
      <c r="AQ4" s="1488" t="s">
        <v>1650</v>
      </c>
      <c r="AR4" s="1488" t="s">
        <v>1651</v>
      </c>
      <c r="AS4" s="1488" t="s">
        <v>1652</v>
      </c>
      <c r="AT4" s="1488" t="s">
        <v>1653</v>
      </c>
      <c r="AU4" s="1488" t="s">
        <v>173</v>
      </c>
      <c r="AV4" s="1488" t="s">
        <v>1654</v>
      </c>
      <c r="AW4" s="1488" t="s">
        <v>1655</v>
      </c>
      <c r="AX4" s="1488" t="s">
        <v>2090</v>
      </c>
      <c r="AY4" s="1488" t="s">
        <v>2457</v>
      </c>
      <c r="AZ4" s="2248"/>
      <c r="BA4" s="2249"/>
      <c r="BB4" s="2248"/>
      <c r="BC4" s="2249"/>
      <c r="BD4" s="1489" t="s">
        <v>1656</v>
      </c>
      <c r="BE4" s="1494" t="s">
        <v>1657</v>
      </c>
      <c r="BF4" s="1489" t="s">
        <v>1658</v>
      </c>
      <c r="BG4" s="848" t="s">
        <v>1503</v>
      </c>
      <c r="BH4" s="1486" t="s">
        <v>1659</v>
      </c>
      <c r="BI4" s="1494" t="s">
        <v>1660</v>
      </c>
      <c r="BJ4" s="1486" t="s">
        <v>174</v>
      </c>
      <c r="BK4" s="1486" t="s">
        <v>649</v>
      </c>
      <c r="BL4" s="1486" t="s">
        <v>2376</v>
      </c>
      <c r="BM4" s="2248"/>
      <c r="BN4" s="2249"/>
    </row>
    <row r="5" spans="1:66" s="100" customFormat="1" ht="10.5" customHeight="1">
      <c r="A5" s="2250"/>
      <c r="B5" s="2251"/>
      <c r="C5" s="1440">
        <v>1</v>
      </c>
      <c r="D5" s="1454">
        <v>2</v>
      </c>
      <c r="E5" s="1440">
        <v>3</v>
      </c>
      <c r="F5" s="1454">
        <v>4</v>
      </c>
      <c r="G5" s="1440">
        <v>5</v>
      </c>
      <c r="H5" s="1440">
        <v>6</v>
      </c>
      <c r="I5" s="1051">
        <v>7</v>
      </c>
      <c r="J5" s="1051">
        <v>8</v>
      </c>
      <c r="K5" s="1440">
        <v>9</v>
      </c>
      <c r="L5" s="818">
        <v>10</v>
      </c>
      <c r="M5" s="1454">
        <v>11</v>
      </c>
      <c r="N5" s="1440">
        <v>12</v>
      </c>
      <c r="O5" s="1454">
        <v>13</v>
      </c>
      <c r="P5" s="1440">
        <v>14</v>
      </c>
      <c r="Q5" s="1454">
        <v>15</v>
      </c>
      <c r="R5" s="1440">
        <v>16</v>
      </c>
      <c r="S5" s="2250"/>
      <c r="T5" s="2251"/>
      <c r="U5" s="2250"/>
      <c r="V5" s="2251"/>
      <c r="W5" s="1440">
        <v>17</v>
      </c>
      <c r="X5" s="1455">
        <v>18</v>
      </c>
      <c r="Y5" s="1440">
        <v>19</v>
      </c>
      <c r="Z5" s="1440">
        <v>20</v>
      </c>
      <c r="AA5" s="1440">
        <v>21</v>
      </c>
      <c r="AB5" s="1440">
        <v>22</v>
      </c>
      <c r="AC5" s="1454">
        <v>23</v>
      </c>
      <c r="AD5" s="1440">
        <v>24</v>
      </c>
      <c r="AE5" s="1440">
        <v>25</v>
      </c>
      <c r="AF5" s="1440">
        <v>26</v>
      </c>
      <c r="AG5" s="801">
        <v>27</v>
      </c>
      <c r="AH5" s="1440">
        <v>28</v>
      </c>
      <c r="AI5" s="2250"/>
      <c r="AJ5" s="2251"/>
      <c r="AK5" s="2257"/>
      <c r="AL5" s="2258"/>
      <c r="AM5" s="1454">
        <v>29</v>
      </c>
      <c r="AN5" s="1440">
        <v>30</v>
      </c>
      <c r="AO5" s="1454">
        <v>31</v>
      </c>
      <c r="AP5" s="1454">
        <v>32</v>
      </c>
      <c r="AQ5" s="1440">
        <v>33</v>
      </c>
      <c r="AR5" s="1454">
        <v>34</v>
      </c>
      <c r="AS5" s="1440">
        <v>35</v>
      </c>
      <c r="AT5" s="1454">
        <v>36</v>
      </c>
      <c r="AU5" s="1440">
        <v>37</v>
      </c>
      <c r="AV5" s="1440">
        <v>38</v>
      </c>
      <c r="AW5" s="1440">
        <v>39</v>
      </c>
      <c r="AX5" s="1364">
        <v>40</v>
      </c>
      <c r="AY5" s="1440">
        <v>41</v>
      </c>
      <c r="AZ5" s="2250"/>
      <c r="BA5" s="2251"/>
      <c r="BB5" s="2250"/>
      <c r="BC5" s="2251"/>
      <c r="BD5" s="818">
        <v>42</v>
      </c>
      <c r="BE5" s="1454">
        <v>43</v>
      </c>
      <c r="BF5" s="909">
        <v>44</v>
      </c>
      <c r="BG5" s="1454">
        <v>45</v>
      </c>
      <c r="BH5" s="818">
        <v>46</v>
      </c>
      <c r="BI5" s="1454">
        <v>47</v>
      </c>
      <c r="BJ5" s="818">
        <v>48</v>
      </c>
      <c r="BK5" s="1454">
        <v>49</v>
      </c>
      <c r="BL5" s="1440">
        <v>50</v>
      </c>
      <c r="BM5" s="2250"/>
      <c r="BN5" s="2251"/>
    </row>
    <row r="6" spans="1:66" s="1439" customFormat="1" ht="11.45" customHeight="1">
      <c r="A6" s="2260" t="s">
        <v>26</v>
      </c>
      <c r="B6" s="2260"/>
      <c r="C6" s="819">
        <v>3</v>
      </c>
      <c r="D6" s="819">
        <v>2.6</v>
      </c>
      <c r="E6" s="819">
        <v>2.75</v>
      </c>
      <c r="F6" s="819" t="s">
        <v>1598</v>
      </c>
      <c r="G6" s="819" t="s">
        <v>2484</v>
      </c>
      <c r="H6" s="819">
        <v>4</v>
      </c>
      <c r="I6" s="819">
        <v>3.5</v>
      </c>
      <c r="J6" s="819">
        <v>3</v>
      </c>
      <c r="K6" s="819" t="s">
        <v>1598</v>
      </c>
      <c r="L6" s="850" t="s">
        <v>2673</v>
      </c>
      <c r="M6" s="819">
        <v>2.75</v>
      </c>
      <c r="N6" s="819">
        <v>2.5</v>
      </c>
      <c r="O6" s="819">
        <v>2</v>
      </c>
      <c r="P6" s="819">
        <v>2</v>
      </c>
      <c r="Q6" s="819" t="s">
        <v>2486</v>
      </c>
      <c r="R6" s="819">
        <v>2</v>
      </c>
      <c r="S6" s="2260" t="s">
        <v>26</v>
      </c>
      <c r="T6" s="2260"/>
      <c r="U6" s="2234" t="s">
        <v>26</v>
      </c>
      <c r="V6" s="2234"/>
      <c r="W6" s="850">
        <v>2</v>
      </c>
      <c r="X6" s="850">
        <v>2</v>
      </c>
      <c r="Y6" s="819">
        <v>3.5</v>
      </c>
      <c r="Z6" s="819" t="s">
        <v>2487</v>
      </c>
      <c r="AA6" s="819" t="s">
        <v>2488</v>
      </c>
      <c r="AB6" s="819" t="s">
        <v>2607</v>
      </c>
      <c r="AC6" s="819" t="s">
        <v>2490</v>
      </c>
      <c r="AD6" s="819" t="s">
        <v>2126</v>
      </c>
      <c r="AE6" s="819" t="s">
        <v>2554</v>
      </c>
      <c r="AF6" s="819" t="s">
        <v>2489</v>
      </c>
      <c r="AG6" s="819">
        <v>4</v>
      </c>
      <c r="AH6" s="819" t="s">
        <v>2618</v>
      </c>
      <c r="AI6" s="2234" t="s">
        <v>26</v>
      </c>
      <c r="AJ6" s="2234"/>
      <c r="AK6" s="2234" t="s">
        <v>26</v>
      </c>
      <c r="AL6" s="2234"/>
      <c r="AM6" s="819" t="s">
        <v>2493</v>
      </c>
      <c r="AN6" s="819" t="s">
        <v>1598</v>
      </c>
      <c r="AO6" s="819" t="s">
        <v>2581</v>
      </c>
      <c r="AP6" s="850">
        <v>2.5</v>
      </c>
      <c r="AQ6" s="819" t="s">
        <v>2494</v>
      </c>
      <c r="AR6" s="819" t="s">
        <v>2495</v>
      </c>
      <c r="AS6" s="850" t="s">
        <v>2485</v>
      </c>
      <c r="AT6" s="819">
        <v>2.5</v>
      </c>
      <c r="AU6" s="819" t="s">
        <v>2686</v>
      </c>
      <c r="AV6" s="819">
        <v>2</v>
      </c>
      <c r="AW6" s="819" t="s">
        <v>2497</v>
      </c>
      <c r="AX6" s="819" t="s">
        <v>2498</v>
      </c>
      <c r="AY6" s="819" t="s">
        <v>2499</v>
      </c>
      <c r="AZ6" s="2234" t="s">
        <v>26</v>
      </c>
      <c r="BA6" s="2234"/>
      <c r="BB6" s="2234" t="s">
        <v>26</v>
      </c>
      <c r="BC6" s="2234"/>
      <c r="BD6" s="819">
        <v>3</v>
      </c>
      <c r="BE6" s="819" t="s">
        <v>2627</v>
      </c>
      <c r="BF6" s="819" t="s">
        <v>2115</v>
      </c>
      <c r="BG6" s="819">
        <v>2.5</v>
      </c>
      <c r="BH6" s="819">
        <v>4.5</v>
      </c>
      <c r="BI6" s="819">
        <v>0.45</v>
      </c>
      <c r="BJ6" s="819" t="s">
        <v>2502</v>
      </c>
      <c r="BK6" s="819" t="s">
        <v>2654</v>
      </c>
      <c r="BL6" s="819">
        <v>6.25</v>
      </c>
      <c r="BM6" s="2234" t="s">
        <v>26</v>
      </c>
      <c r="BN6" s="2234"/>
    </row>
    <row r="7" spans="1:66" ht="11.45" customHeight="1">
      <c r="A7" s="2235" t="s">
        <v>890</v>
      </c>
      <c r="B7" s="2236"/>
      <c r="C7" s="782"/>
      <c r="D7" s="782"/>
      <c r="E7" s="782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2235" t="s">
        <v>890</v>
      </c>
      <c r="T7" s="2235"/>
      <c r="U7" s="2235" t="s">
        <v>890</v>
      </c>
      <c r="V7" s="2236"/>
      <c r="W7" s="759"/>
      <c r="X7" s="757"/>
      <c r="Y7" s="757"/>
      <c r="Z7" s="757"/>
      <c r="AA7" s="757"/>
      <c r="AB7" s="757"/>
      <c r="AC7" s="757"/>
      <c r="AD7" s="757"/>
      <c r="AE7" s="757"/>
      <c r="AF7" s="757"/>
      <c r="AG7" s="757"/>
      <c r="AH7" s="757" t="s">
        <v>1309</v>
      </c>
      <c r="AI7" s="2235" t="s">
        <v>890</v>
      </c>
      <c r="AJ7" s="2236"/>
      <c r="AK7" s="2235" t="s">
        <v>890</v>
      </c>
      <c r="AL7" s="2236"/>
      <c r="AM7" s="757"/>
      <c r="AN7" s="757"/>
      <c r="AO7" s="757"/>
      <c r="AP7" s="757"/>
      <c r="AQ7" s="757"/>
      <c r="AR7" s="757"/>
      <c r="AS7" s="757"/>
      <c r="AT7" s="757"/>
      <c r="AU7" s="757"/>
      <c r="AV7" s="757"/>
      <c r="AW7" s="757"/>
      <c r="AX7" s="757"/>
      <c r="AY7" s="757"/>
      <c r="AZ7" s="2235" t="s">
        <v>890</v>
      </c>
      <c r="BA7" s="2236"/>
      <c r="BB7" s="2235" t="s">
        <v>890</v>
      </c>
      <c r="BC7" s="2236"/>
      <c r="BD7" s="759"/>
      <c r="BE7" s="759"/>
      <c r="BF7" s="757"/>
      <c r="BG7" s="757"/>
      <c r="BH7" s="757"/>
      <c r="BI7" s="757"/>
      <c r="BJ7" s="757"/>
      <c r="BK7" s="757"/>
      <c r="BL7" s="757"/>
      <c r="BM7" s="2235" t="s">
        <v>890</v>
      </c>
      <c r="BN7" s="2236"/>
    </row>
    <row r="8" spans="1:66" ht="11.45" customHeight="1">
      <c r="A8" s="820" t="s">
        <v>331</v>
      </c>
      <c r="B8" s="821" t="s">
        <v>881</v>
      </c>
      <c r="C8" s="819">
        <v>2.25</v>
      </c>
      <c r="D8" s="819">
        <v>2.88</v>
      </c>
      <c r="E8" s="819">
        <v>2.75</v>
      </c>
      <c r="F8" s="819">
        <v>2.5</v>
      </c>
      <c r="G8" s="819">
        <v>3.5</v>
      </c>
      <c r="H8" s="819">
        <v>2.75</v>
      </c>
      <c r="I8" s="819">
        <v>3.5</v>
      </c>
      <c r="J8" s="819">
        <v>3</v>
      </c>
      <c r="K8" s="819" t="s">
        <v>52</v>
      </c>
      <c r="L8" s="819">
        <v>2.4900000000000002</v>
      </c>
      <c r="M8" s="819">
        <v>1.75</v>
      </c>
      <c r="N8" s="819">
        <v>1.25</v>
      </c>
      <c r="O8" s="819">
        <v>2</v>
      </c>
      <c r="P8" s="819">
        <v>2</v>
      </c>
      <c r="Q8" s="819">
        <v>2.25</v>
      </c>
      <c r="R8" s="819">
        <v>2.78</v>
      </c>
      <c r="S8" s="1464" t="s">
        <v>331</v>
      </c>
      <c r="T8" s="821" t="s">
        <v>2451</v>
      </c>
      <c r="U8" s="820" t="s">
        <v>331</v>
      </c>
      <c r="V8" s="821" t="s">
        <v>881</v>
      </c>
      <c r="W8" s="756" t="s">
        <v>1663</v>
      </c>
      <c r="X8" s="851">
        <v>2</v>
      </c>
      <c r="Y8" s="756">
        <v>2</v>
      </c>
      <c r="Z8" s="756">
        <v>1.5</v>
      </c>
      <c r="AA8" s="756">
        <v>2.5</v>
      </c>
      <c r="AB8" s="756">
        <v>0.5</v>
      </c>
      <c r="AC8" s="756">
        <v>1</v>
      </c>
      <c r="AD8" s="756">
        <v>2</v>
      </c>
      <c r="AE8" s="756">
        <v>2.5</v>
      </c>
      <c r="AF8" s="756">
        <v>3.5</v>
      </c>
      <c r="AG8" s="756">
        <v>1</v>
      </c>
      <c r="AH8" s="756">
        <v>2</v>
      </c>
      <c r="AI8" s="820" t="s">
        <v>331</v>
      </c>
      <c r="AJ8" s="821" t="s">
        <v>881</v>
      </c>
      <c r="AK8" s="820" t="s">
        <v>331</v>
      </c>
      <c r="AL8" s="821" t="s">
        <v>881</v>
      </c>
      <c r="AM8" s="756">
        <v>2</v>
      </c>
      <c r="AN8" s="756">
        <v>1</v>
      </c>
      <c r="AO8" s="756">
        <v>0.25</v>
      </c>
      <c r="AP8" s="756">
        <v>3</v>
      </c>
      <c r="AQ8" s="756">
        <v>2.5</v>
      </c>
      <c r="AR8" s="756">
        <v>3</v>
      </c>
      <c r="AS8" s="756">
        <v>2</v>
      </c>
      <c r="AT8" s="756">
        <v>1.25</v>
      </c>
      <c r="AU8" s="756">
        <v>2.64</v>
      </c>
      <c r="AV8" s="756">
        <v>1</v>
      </c>
      <c r="AW8" s="756">
        <v>2</v>
      </c>
      <c r="AX8" s="756">
        <v>2</v>
      </c>
      <c r="AY8" s="756">
        <v>2.5</v>
      </c>
      <c r="AZ8" s="820" t="s">
        <v>331</v>
      </c>
      <c r="BA8" s="821" t="s">
        <v>881</v>
      </c>
      <c r="BB8" s="820" t="s">
        <v>331</v>
      </c>
      <c r="BC8" s="821" t="s">
        <v>881</v>
      </c>
      <c r="BD8" s="756">
        <v>1</v>
      </c>
      <c r="BE8" s="851">
        <v>0.05</v>
      </c>
      <c r="BF8" s="756" t="s">
        <v>1663</v>
      </c>
      <c r="BG8" s="756">
        <v>2.5</v>
      </c>
      <c r="BH8" s="756">
        <v>0.2</v>
      </c>
      <c r="BI8" s="756">
        <v>0.05</v>
      </c>
      <c r="BJ8" s="756">
        <v>0.5</v>
      </c>
      <c r="BK8" s="851">
        <v>0.05</v>
      </c>
      <c r="BL8" s="756">
        <v>0.5</v>
      </c>
      <c r="BM8" s="820" t="s">
        <v>331</v>
      </c>
      <c r="BN8" s="821" t="s">
        <v>881</v>
      </c>
    </row>
    <row r="9" spans="1:66" ht="11.45" customHeight="1">
      <c r="A9" s="822" t="s">
        <v>514</v>
      </c>
      <c r="B9" s="823" t="s">
        <v>882</v>
      </c>
      <c r="C9" s="782">
        <v>2.5</v>
      </c>
      <c r="D9" s="782">
        <v>3</v>
      </c>
      <c r="E9" s="782">
        <v>3</v>
      </c>
      <c r="F9" s="757">
        <v>3</v>
      </c>
      <c r="G9" s="757">
        <v>3.5</v>
      </c>
      <c r="H9" s="757">
        <v>3</v>
      </c>
      <c r="I9" s="757">
        <v>3.5</v>
      </c>
      <c r="J9" s="757">
        <v>3</v>
      </c>
      <c r="K9" s="757" t="s">
        <v>52</v>
      </c>
      <c r="L9" s="757">
        <v>2.4900000000000002</v>
      </c>
      <c r="M9" s="757">
        <v>2</v>
      </c>
      <c r="N9" s="757">
        <v>1.75</v>
      </c>
      <c r="O9" s="757">
        <v>2</v>
      </c>
      <c r="P9" s="757">
        <v>2</v>
      </c>
      <c r="Q9" s="757">
        <v>2.75</v>
      </c>
      <c r="R9" s="757">
        <v>2.9</v>
      </c>
      <c r="S9" s="1465" t="s">
        <v>514</v>
      </c>
      <c r="T9" s="823" t="s">
        <v>2452</v>
      </c>
      <c r="U9" s="822" t="s">
        <v>514</v>
      </c>
      <c r="V9" s="823" t="s">
        <v>882</v>
      </c>
      <c r="W9" s="757" t="s">
        <v>1662</v>
      </c>
      <c r="X9" s="757">
        <v>2</v>
      </c>
      <c r="Y9" s="757">
        <v>2.25</v>
      </c>
      <c r="Z9" s="757">
        <v>1.75</v>
      </c>
      <c r="AA9" s="757">
        <v>3</v>
      </c>
      <c r="AB9" s="757">
        <v>1</v>
      </c>
      <c r="AC9" s="757">
        <v>2</v>
      </c>
      <c r="AD9" s="757">
        <v>2</v>
      </c>
      <c r="AE9" s="757">
        <v>2.5</v>
      </c>
      <c r="AF9" s="757">
        <v>4</v>
      </c>
      <c r="AG9" s="757">
        <v>1.5</v>
      </c>
      <c r="AH9" s="757">
        <v>3.75</v>
      </c>
      <c r="AI9" s="822" t="s">
        <v>514</v>
      </c>
      <c r="AJ9" s="823" t="s">
        <v>882</v>
      </c>
      <c r="AK9" s="822" t="s">
        <v>514</v>
      </c>
      <c r="AL9" s="823" t="s">
        <v>882</v>
      </c>
      <c r="AM9" s="757">
        <v>2.5</v>
      </c>
      <c r="AN9" s="757">
        <v>1</v>
      </c>
      <c r="AO9" s="757">
        <v>0.75</v>
      </c>
      <c r="AP9" s="757">
        <v>3.25</v>
      </c>
      <c r="AQ9" s="757">
        <v>3.25</v>
      </c>
      <c r="AR9" s="757">
        <v>3</v>
      </c>
      <c r="AS9" s="757">
        <v>2.25</v>
      </c>
      <c r="AT9" s="757">
        <v>1.5</v>
      </c>
      <c r="AU9" s="757">
        <v>2.64</v>
      </c>
      <c r="AV9" s="757">
        <v>2</v>
      </c>
      <c r="AW9" s="757">
        <v>2</v>
      </c>
      <c r="AX9" s="757">
        <v>2.25</v>
      </c>
      <c r="AY9" s="757">
        <v>2.5</v>
      </c>
      <c r="AZ9" s="822" t="s">
        <v>514</v>
      </c>
      <c r="BA9" s="823" t="s">
        <v>882</v>
      </c>
      <c r="BB9" s="822" t="s">
        <v>514</v>
      </c>
      <c r="BC9" s="823" t="s">
        <v>882</v>
      </c>
      <c r="BD9" s="757">
        <v>1</v>
      </c>
      <c r="BE9" s="757">
        <v>0.05</v>
      </c>
      <c r="BF9" s="757">
        <v>1.5</v>
      </c>
      <c r="BG9" s="757">
        <v>3.5</v>
      </c>
      <c r="BH9" s="757">
        <v>0.3</v>
      </c>
      <c r="BI9" s="757">
        <v>0.05</v>
      </c>
      <c r="BJ9" s="757">
        <v>0.5</v>
      </c>
      <c r="BK9" s="757">
        <v>0.05</v>
      </c>
      <c r="BL9" s="757">
        <v>5</v>
      </c>
      <c r="BM9" s="822" t="s">
        <v>514</v>
      </c>
      <c r="BN9" s="823" t="s">
        <v>882</v>
      </c>
    </row>
    <row r="10" spans="1:66" ht="11.45" customHeight="1">
      <c r="A10" s="820" t="s">
        <v>308</v>
      </c>
      <c r="B10" s="821" t="s">
        <v>883</v>
      </c>
      <c r="C10" s="819">
        <v>2.75</v>
      </c>
      <c r="D10" s="819">
        <v>3.25</v>
      </c>
      <c r="E10" s="819">
        <v>3.25</v>
      </c>
      <c r="F10" s="756">
        <v>3.25</v>
      </c>
      <c r="G10" s="756">
        <v>3.5</v>
      </c>
      <c r="H10" s="756">
        <v>3.25</v>
      </c>
      <c r="I10" s="756">
        <v>3.5</v>
      </c>
      <c r="J10" s="756">
        <v>3</v>
      </c>
      <c r="K10" s="756" t="s">
        <v>52</v>
      </c>
      <c r="L10" s="756">
        <v>2.4900000000000002</v>
      </c>
      <c r="M10" s="756">
        <v>2.25</v>
      </c>
      <c r="N10" s="756">
        <v>2.38</v>
      </c>
      <c r="O10" s="756">
        <v>2.5</v>
      </c>
      <c r="P10" s="756">
        <v>3</v>
      </c>
      <c r="Q10" s="756">
        <v>3.25</v>
      </c>
      <c r="R10" s="756">
        <v>3.51</v>
      </c>
      <c r="S10" s="1466" t="s">
        <v>308</v>
      </c>
      <c r="T10" s="821" t="s">
        <v>2453</v>
      </c>
      <c r="U10" s="820" t="s">
        <v>308</v>
      </c>
      <c r="V10" s="821" t="s">
        <v>883</v>
      </c>
      <c r="W10" s="756">
        <v>2</v>
      </c>
      <c r="X10" s="851">
        <v>2</v>
      </c>
      <c r="Y10" s="756">
        <v>2.5</v>
      </c>
      <c r="Z10" s="756">
        <v>2</v>
      </c>
      <c r="AA10" s="756" t="s">
        <v>1661</v>
      </c>
      <c r="AB10" s="756">
        <v>2</v>
      </c>
      <c r="AC10" s="756">
        <v>2.5</v>
      </c>
      <c r="AD10" s="756">
        <v>2</v>
      </c>
      <c r="AE10" s="756">
        <v>2.5</v>
      </c>
      <c r="AF10" s="756">
        <v>8</v>
      </c>
      <c r="AG10" s="756">
        <v>2.5</v>
      </c>
      <c r="AH10" s="756">
        <v>2.75</v>
      </c>
      <c r="AI10" s="820" t="s">
        <v>308</v>
      </c>
      <c r="AJ10" s="821" t="s">
        <v>883</v>
      </c>
      <c r="AK10" s="820" t="s">
        <v>308</v>
      </c>
      <c r="AL10" s="821" t="s">
        <v>883</v>
      </c>
      <c r="AM10" s="756">
        <v>2.75</v>
      </c>
      <c r="AN10" s="756">
        <v>1</v>
      </c>
      <c r="AO10" s="756">
        <v>1.25</v>
      </c>
      <c r="AP10" s="756">
        <v>3.25</v>
      </c>
      <c r="AQ10" s="756">
        <v>3.25</v>
      </c>
      <c r="AR10" s="756">
        <v>3.5</v>
      </c>
      <c r="AS10" s="756">
        <v>2.5</v>
      </c>
      <c r="AT10" s="756">
        <v>1.75</v>
      </c>
      <c r="AU10" s="756">
        <v>3.14</v>
      </c>
      <c r="AV10" s="756">
        <v>3</v>
      </c>
      <c r="AW10" s="756">
        <v>2</v>
      </c>
      <c r="AX10" s="756">
        <v>2.5</v>
      </c>
      <c r="AY10" s="756">
        <v>2.5</v>
      </c>
      <c r="AZ10" s="820" t="s">
        <v>308</v>
      </c>
      <c r="BA10" s="821" t="s">
        <v>883</v>
      </c>
      <c r="BB10" s="820" t="s">
        <v>308</v>
      </c>
      <c r="BC10" s="821" t="s">
        <v>883</v>
      </c>
      <c r="BD10" s="756">
        <v>1.25</v>
      </c>
      <c r="BE10" s="851">
        <v>0.1</v>
      </c>
      <c r="BF10" s="756">
        <v>4</v>
      </c>
      <c r="BG10" s="756">
        <v>3.5</v>
      </c>
      <c r="BH10" s="756">
        <v>0.4</v>
      </c>
      <c r="BI10" s="756">
        <v>0.05</v>
      </c>
      <c r="BJ10" s="756">
        <v>0.5</v>
      </c>
      <c r="BK10" s="851">
        <v>0.1</v>
      </c>
      <c r="BL10" s="756">
        <v>6</v>
      </c>
      <c r="BM10" s="820" t="s">
        <v>308</v>
      </c>
      <c r="BN10" s="821" t="s">
        <v>883</v>
      </c>
    </row>
    <row r="11" spans="1:66" ht="11.45" customHeight="1">
      <c r="A11" s="822" t="s">
        <v>309</v>
      </c>
      <c r="B11" s="823" t="s">
        <v>884</v>
      </c>
      <c r="C11" s="782">
        <v>3</v>
      </c>
      <c r="D11" s="782">
        <v>3.5</v>
      </c>
      <c r="E11" s="782">
        <v>3.5</v>
      </c>
      <c r="F11" s="757">
        <v>3.5</v>
      </c>
      <c r="G11" s="757">
        <v>3.5</v>
      </c>
      <c r="H11" s="757">
        <v>3.5</v>
      </c>
      <c r="I11" s="757">
        <v>3.5</v>
      </c>
      <c r="J11" s="757">
        <v>3</v>
      </c>
      <c r="K11" s="757" t="s">
        <v>52</v>
      </c>
      <c r="L11" s="757">
        <v>2.4900000000000002</v>
      </c>
      <c r="M11" s="757">
        <v>2.5</v>
      </c>
      <c r="N11" s="757">
        <v>2.75</v>
      </c>
      <c r="O11" s="757">
        <v>3</v>
      </c>
      <c r="P11" s="757">
        <v>3</v>
      </c>
      <c r="Q11" s="757">
        <v>3.75</v>
      </c>
      <c r="R11" s="757">
        <v>4</v>
      </c>
      <c r="S11" s="1465" t="s">
        <v>309</v>
      </c>
      <c r="T11" s="823" t="s">
        <v>884</v>
      </c>
      <c r="U11" s="822" t="s">
        <v>309</v>
      </c>
      <c r="V11" s="823" t="s">
        <v>884</v>
      </c>
      <c r="W11" s="757">
        <v>2</v>
      </c>
      <c r="X11" s="757">
        <v>2</v>
      </c>
      <c r="Y11" s="757">
        <v>2.75</v>
      </c>
      <c r="Z11" s="757">
        <v>2.25</v>
      </c>
      <c r="AA11" s="757" t="s">
        <v>1661</v>
      </c>
      <c r="AB11" s="757">
        <v>2</v>
      </c>
      <c r="AC11" s="757">
        <v>2.5</v>
      </c>
      <c r="AD11" s="757">
        <v>2</v>
      </c>
      <c r="AE11" s="757">
        <v>2.5</v>
      </c>
      <c r="AF11" s="757">
        <v>8</v>
      </c>
      <c r="AG11" s="757">
        <v>3</v>
      </c>
      <c r="AH11" s="757">
        <v>3</v>
      </c>
      <c r="AI11" s="822" t="s">
        <v>309</v>
      </c>
      <c r="AJ11" s="823" t="s">
        <v>884</v>
      </c>
      <c r="AK11" s="822" t="s">
        <v>309</v>
      </c>
      <c r="AL11" s="823" t="s">
        <v>884</v>
      </c>
      <c r="AM11" s="757">
        <v>3</v>
      </c>
      <c r="AN11" s="757">
        <v>2</v>
      </c>
      <c r="AO11" s="757">
        <v>1.5</v>
      </c>
      <c r="AP11" s="757">
        <v>3.25</v>
      </c>
      <c r="AQ11" s="757">
        <v>4</v>
      </c>
      <c r="AR11" s="757">
        <v>4</v>
      </c>
      <c r="AS11" s="757">
        <v>2.75</v>
      </c>
      <c r="AT11" s="757">
        <v>2</v>
      </c>
      <c r="AU11" s="757">
        <v>3.14</v>
      </c>
      <c r="AV11" s="757">
        <v>4.5</v>
      </c>
      <c r="AW11" s="757">
        <v>2</v>
      </c>
      <c r="AX11" s="757">
        <v>2.75</v>
      </c>
      <c r="AY11" s="757">
        <v>2.75</v>
      </c>
      <c r="AZ11" s="822" t="s">
        <v>309</v>
      </c>
      <c r="BA11" s="823" t="s">
        <v>884</v>
      </c>
      <c r="BB11" s="822" t="s">
        <v>309</v>
      </c>
      <c r="BC11" s="823" t="s">
        <v>884</v>
      </c>
      <c r="BD11" s="757">
        <v>1.5</v>
      </c>
      <c r="BE11" s="757">
        <v>0.3</v>
      </c>
      <c r="BF11" s="757">
        <v>4</v>
      </c>
      <c r="BG11" s="757">
        <v>3.5</v>
      </c>
      <c r="BH11" s="757">
        <v>0.5</v>
      </c>
      <c r="BI11" s="757">
        <v>0.05</v>
      </c>
      <c r="BJ11" s="757">
        <v>0.5</v>
      </c>
      <c r="BK11" s="757">
        <v>0.3</v>
      </c>
      <c r="BL11" s="757">
        <v>6.25</v>
      </c>
      <c r="BM11" s="822" t="s">
        <v>309</v>
      </c>
      <c r="BN11" s="823" t="s">
        <v>884</v>
      </c>
    </row>
    <row r="12" spans="1:66" ht="11.45" customHeight="1">
      <c r="A12" s="820" t="s">
        <v>329</v>
      </c>
      <c r="B12" s="821" t="s">
        <v>1417</v>
      </c>
      <c r="C12" s="819">
        <v>3.25</v>
      </c>
      <c r="D12" s="819">
        <v>3.75</v>
      </c>
      <c r="E12" s="819">
        <v>4</v>
      </c>
      <c r="F12" s="756">
        <v>4</v>
      </c>
      <c r="G12" s="756">
        <v>3.5</v>
      </c>
      <c r="H12" s="756">
        <v>3.75</v>
      </c>
      <c r="I12" s="756">
        <v>3.5</v>
      </c>
      <c r="J12" s="756">
        <v>3</v>
      </c>
      <c r="K12" s="756" t="s">
        <v>52</v>
      </c>
      <c r="L12" s="756">
        <v>2.4900000000000002</v>
      </c>
      <c r="M12" s="756">
        <v>2.75</v>
      </c>
      <c r="N12" s="756">
        <v>3</v>
      </c>
      <c r="O12" s="756">
        <v>3.5</v>
      </c>
      <c r="P12" s="756">
        <v>3</v>
      </c>
      <c r="Q12" s="756">
        <v>4.25</v>
      </c>
      <c r="R12" s="756">
        <v>4.53</v>
      </c>
      <c r="S12" s="1466" t="s">
        <v>329</v>
      </c>
      <c r="T12" s="821" t="s">
        <v>1417</v>
      </c>
      <c r="U12" s="820" t="s">
        <v>329</v>
      </c>
      <c r="V12" s="821" t="s">
        <v>1417</v>
      </c>
      <c r="W12" s="756">
        <v>2</v>
      </c>
      <c r="X12" s="851">
        <v>2</v>
      </c>
      <c r="Y12" s="756">
        <v>3</v>
      </c>
      <c r="Z12" s="756">
        <v>2.5</v>
      </c>
      <c r="AA12" s="756" t="s">
        <v>1661</v>
      </c>
      <c r="AB12" s="756">
        <v>3.15</v>
      </c>
      <c r="AC12" s="756">
        <v>2.5</v>
      </c>
      <c r="AD12" s="756">
        <v>3</v>
      </c>
      <c r="AE12" s="756">
        <v>2.5</v>
      </c>
      <c r="AF12" s="756">
        <v>8</v>
      </c>
      <c r="AG12" s="756">
        <v>3.5</v>
      </c>
      <c r="AH12" s="756">
        <v>3.5</v>
      </c>
      <c r="AI12" s="820" t="s">
        <v>329</v>
      </c>
      <c r="AJ12" s="821" t="s">
        <v>1417</v>
      </c>
      <c r="AK12" s="820" t="s">
        <v>329</v>
      </c>
      <c r="AL12" s="821" t="s">
        <v>1417</v>
      </c>
      <c r="AM12" s="756">
        <v>3.5</v>
      </c>
      <c r="AN12" s="756">
        <v>2</v>
      </c>
      <c r="AO12" s="756">
        <v>2</v>
      </c>
      <c r="AP12" s="851">
        <v>3.5</v>
      </c>
      <c r="AQ12" s="756">
        <v>4.25</v>
      </c>
      <c r="AR12" s="756">
        <v>4</v>
      </c>
      <c r="AS12" s="756">
        <v>6</v>
      </c>
      <c r="AT12" s="756">
        <v>2.5</v>
      </c>
      <c r="AU12" s="756">
        <v>3.39</v>
      </c>
      <c r="AV12" s="756">
        <v>7.08</v>
      </c>
      <c r="AW12" s="756">
        <v>2</v>
      </c>
      <c r="AX12" s="756">
        <v>3</v>
      </c>
      <c r="AY12" s="756">
        <v>3</v>
      </c>
      <c r="AZ12" s="820" t="s">
        <v>329</v>
      </c>
      <c r="BA12" s="821" t="s">
        <v>1417</v>
      </c>
      <c r="BB12" s="820" t="s">
        <v>329</v>
      </c>
      <c r="BC12" s="821" t="s">
        <v>1417</v>
      </c>
      <c r="BD12" s="756">
        <v>2.5</v>
      </c>
      <c r="BE12" s="851">
        <v>0.45</v>
      </c>
      <c r="BF12" s="756">
        <v>4</v>
      </c>
      <c r="BG12" s="756">
        <v>3</v>
      </c>
      <c r="BH12" s="756">
        <v>1</v>
      </c>
      <c r="BI12" s="756">
        <v>0.4</v>
      </c>
      <c r="BJ12" s="756">
        <v>0.5</v>
      </c>
      <c r="BK12" s="851">
        <v>0.45</v>
      </c>
      <c r="BL12" s="756">
        <v>6.25</v>
      </c>
      <c r="BM12" s="820" t="s">
        <v>329</v>
      </c>
      <c r="BN12" s="821" t="s">
        <v>1417</v>
      </c>
    </row>
    <row r="13" spans="1:66" ht="11.45" customHeight="1">
      <c r="A13" s="2237" t="s">
        <v>27</v>
      </c>
      <c r="B13" s="2237"/>
      <c r="C13" s="824"/>
      <c r="D13" s="824"/>
      <c r="E13" s="824"/>
      <c r="F13" s="824"/>
      <c r="G13" s="824"/>
      <c r="H13" s="824"/>
      <c r="I13" s="824"/>
      <c r="J13" s="824"/>
      <c r="K13" s="824"/>
      <c r="L13" s="825"/>
      <c r="M13" s="824"/>
      <c r="N13" s="824"/>
      <c r="O13" s="824"/>
      <c r="P13" s="824"/>
      <c r="Q13" s="824"/>
      <c r="R13" s="824"/>
      <c r="S13" s="2237" t="s">
        <v>27</v>
      </c>
      <c r="T13" s="2237"/>
      <c r="U13" s="2237" t="s">
        <v>27</v>
      </c>
      <c r="V13" s="2237"/>
      <c r="W13" s="759"/>
      <c r="X13" s="759"/>
      <c r="Y13" s="759"/>
      <c r="Z13" s="759"/>
      <c r="AA13" s="759"/>
      <c r="AB13" s="759"/>
      <c r="AC13" s="759"/>
      <c r="AD13" s="759"/>
      <c r="AE13" s="759"/>
      <c r="AF13" s="759"/>
      <c r="AG13" s="757"/>
      <c r="AH13" s="759"/>
      <c r="AI13" s="2237" t="s">
        <v>27</v>
      </c>
      <c r="AJ13" s="2237"/>
      <c r="AK13" s="2237" t="s">
        <v>27</v>
      </c>
      <c r="AL13" s="2237"/>
      <c r="AM13" s="759"/>
      <c r="AN13" s="759"/>
      <c r="AO13" s="759"/>
      <c r="AP13" s="759"/>
      <c r="AQ13" s="759"/>
      <c r="AR13" s="759"/>
      <c r="AS13" s="759"/>
      <c r="AT13" s="759"/>
      <c r="AU13" s="759"/>
      <c r="AV13" s="759"/>
      <c r="AW13" s="759"/>
      <c r="AX13" s="759"/>
      <c r="AY13" s="759"/>
      <c r="AZ13" s="2237" t="s">
        <v>27</v>
      </c>
      <c r="BA13" s="2237"/>
      <c r="BB13" s="2237" t="s">
        <v>27</v>
      </c>
      <c r="BC13" s="2237"/>
      <c r="BD13" s="759"/>
      <c r="BE13" s="759"/>
      <c r="BF13" s="759"/>
      <c r="BG13" s="759"/>
      <c r="BH13" s="759"/>
      <c r="BI13" s="759"/>
      <c r="BJ13" s="757"/>
      <c r="BK13" s="757"/>
      <c r="BL13" s="757"/>
      <c r="BM13" s="2237" t="s">
        <v>27</v>
      </c>
      <c r="BN13" s="2237"/>
    </row>
    <row r="14" spans="1:66" ht="11.45" customHeight="1">
      <c r="A14" s="820" t="s">
        <v>331</v>
      </c>
      <c r="B14" s="821" t="s">
        <v>885</v>
      </c>
      <c r="C14" s="819" t="s">
        <v>2638</v>
      </c>
      <c r="D14" s="819">
        <v>6.25</v>
      </c>
      <c r="E14" s="851">
        <v>7</v>
      </c>
      <c r="F14" s="756" t="s">
        <v>2563</v>
      </c>
      <c r="G14" s="756">
        <v>6.75</v>
      </c>
      <c r="H14" s="756">
        <v>6.25</v>
      </c>
      <c r="I14" s="756" t="s">
        <v>2598</v>
      </c>
      <c r="J14" s="756" t="s">
        <v>52</v>
      </c>
      <c r="K14" s="756" t="s">
        <v>52</v>
      </c>
      <c r="L14" s="756" t="s">
        <v>2674</v>
      </c>
      <c r="M14" s="756" t="s">
        <v>2640</v>
      </c>
      <c r="N14" s="756" t="s">
        <v>2678</v>
      </c>
      <c r="O14" s="756">
        <v>7</v>
      </c>
      <c r="P14" s="851" t="s">
        <v>2600</v>
      </c>
      <c r="Q14" s="851" t="s">
        <v>2601</v>
      </c>
      <c r="R14" s="851" t="s">
        <v>2643</v>
      </c>
      <c r="S14" s="1466" t="s">
        <v>331</v>
      </c>
      <c r="T14" s="821" t="s">
        <v>885</v>
      </c>
      <c r="U14" s="820" t="s">
        <v>331</v>
      </c>
      <c r="V14" s="821" t="s">
        <v>885</v>
      </c>
      <c r="W14" s="756" t="s">
        <v>2603</v>
      </c>
      <c r="X14" s="851" t="s">
        <v>2555</v>
      </c>
      <c r="Y14" s="756" t="s">
        <v>2606</v>
      </c>
      <c r="Z14" s="756" t="s">
        <v>2553</v>
      </c>
      <c r="AA14" s="756">
        <v>6</v>
      </c>
      <c r="AB14" s="756" t="s">
        <v>2608</v>
      </c>
      <c r="AC14" s="756" t="s">
        <v>2611</v>
      </c>
      <c r="AD14" s="756" t="s">
        <v>2619</v>
      </c>
      <c r="AE14" s="756" t="s">
        <v>2616</v>
      </c>
      <c r="AF14" s="756" t="s">
        <v>2617</v>
      </c>
      <c r="AG14" s="756" t="s">
        <v>2645</v>
      </c>
      <c r="AH14" s="756" t="s">
        <v>2679</v>
      </c>
      <c r="AI14" s="820" t="s">
        <v>331</v>
      </c>
      <c r="AJ14" s="821" t="s">
        <v>885</v>
      </c>
      <c r="AK14" s="820" t="s">
        <v>331</v>
      </c>
      <c r="AL14" s="821" t="s">
        <v>885</v>
      </c>
      <c r="AM14" s="756" t="s">
        <v>2647</v>
      </c>
      <c r="AN14" s="756" t="s">
        <v>2620</v>
      </c>
      <c r="AO14" s="758" t="s">
        <v>2623</v>
      </c>
      <c r="AP14" s="756" t="s">
        <v>2623</v>
      </c>
      <c r="AQ14" s="756" t="s">
        <v>2582</v>
      </c>
      <c r="AR14" s="756" t="s">
        <v>2553</v>
      </c>
      <c r="AS14" s="756">
        <v>6.5</v>
      </c>
      <c r="AT14" s="756" t="s">
        <v>2485</v>
      </c>
      <c r="AU14" s="756" t="s">
        <v>2687</v>
      </c>
      <c r="AV14" s="756" t="s">
        <v>2691</v>
      </c>
      <c r="AW14" s="756" t="s">
        <v>2649</v>
      </c>
      <c r="AX14" s="756" t="s">
        <v>2626</v>
      </c>
      <c r="AY14" s="756" t="s">
        <v>2579</v>
      </c>
      <c r="AZ14" s="820" t="s">
        <v>331</v>
      </c>
      <c r="BA14" s="821" t="s">
        <v>885</v>
      </c>
      <c r="BB14" s="820" t="s">
        <v>331</v>
      </c>
      <c r="BC14" s="821" t="s">
        <v>885</v>
      </c>
      <c r="BD14" s="756" t="s">
        <v>2692</v>
      </c>
      <c r="BE14" s="756" t="s">
        <v>2693</v>
      </c>
      <c r="BF14" s="756" t="s">
        <v>2696</v>
      </c>
      <c r="BG14" s="756" t="s">
        <v>2628</v>
      </c>
      <c r="BH14" s="756">
        <v>5.75</v>
      </c>
      <c r="BI14" s="756">
        <v>0.1</v>
      </c>
      <c r="BJ14" s="756" t="s">
        <v>2699</v>
      </c>
      <c r="BK14" s="756" t="s">
        <v>2583</v>
      </c>
      <c r="BL14" s="756" t="s">
        <v>2703</v>
      </c>
      <c r="BM14" s="820" t="s">
        <v>331</v>
      </c>
      <c r="BN14" s="821" t="s">
        <v>885</v>
      </c>
    </row>
    <row r="15" spans="1:66" ht="11.45" customHeight="1">
      <c r="A15" s="822" t="s">
        <v>514</v>
      </c>
      <c r="B15" s="823" t="s">
        <v>886</v>
      </c>
      <c r="C15" s="782" t="s">
        <v>2639</v>
      </c>
      <c r="D15" s="757">
        <v>6.5</v>
      </c>
      <c r="E15" s="757">
        <v>7</v>
      </c>
      <c r="F15" s="757">
        <v>6.5</v>
      </c>
      <c r="G15" s="757">
        <v>6.75</v>
      </c>
      <c r="H15" s="757">
        <v>6.5</v>
      </c>
      <c r="I15" s="757" t="s">
        <v>2599</v>
      </c>
      <c r="J15" s="757">
        <v>6</v>
      </c>
      <c r="K15" s="757" t="s">
        <v>52</v>
      </c>
      <c r="L15" s="757" t="s">
        <v>2675</v>
      </c>
      <c r="M15" s="757" t="s">
        <v>2640</v>
      </c>
      <c r="N15" s="757" t="s">
        <v>2641</v>
      </c>
      <c r="O15" s="757">
        <v>7</v>
      </c>
      <c r="P15" s="757">
        <v>6.5</v>
      </c>
      <c r="Q15" s="757" t="s">
        <v>2602</v>
      </c>
      <c r="R15" s="757">
        <v>6.53</v>
      </c>
      <c r="S15" s="1465" t="s">
        <v>514</v>
      </c>
      <c r="T15" s="823" t="s">
        <v>886</v>
      </c>
      <c r="U15" s="822" t="s">
        <v>514</v>
      </c>
      <c r="V15" s="823" t="s">
        <v>886</v>
      </c>
      <c r="W15" s="757" t="s">
        <v>2560</v>
      </c>
      <c r="X15" s="757" t="s">
        <v>2604</v>
      </c>
      <c r="Y15" s="757" t="s">
        <v>2606</v>
      </c>
      <c r="Z15" s="757" t="s">
        <v>2553</v>
      </c>
      <c r="AA15" s="757">
        <v>6</v>
      </c>
      <c r="AB15" s="757" t="s">
        <v>2609</v>
      </c>
      <c r="AC15" s="757" t="s">
        <v>2612</v>
      </c>
      <c r="AD15" s="757" t="s">
        <v>2614</v>
      </c>
      <c r="AE15" s="757" t="s">
        <v>2616</v>
      </c>
      <c r="AF15" s="757" t="s">
        <v>2579</v>
      </c>
      <c r="AG15" s="757" t="s">
        <v>2619</v>
      </c>
      <c r="AH15" s="757" t="s">
        <v>2680</v>
      </c>
      <c r="AI15" s="822" t="s">
        <v>514</v>
      </c>
      <c r="AJ15" s="823" t="s">
        <v>886</v>
      </c>
      <c r="AK15" s="822" t="s">
        <v>514</v>
      </c>
      <c r="AL15" s="823" t="s">
        <v>886</v>
      </c>
      <c r="AM15" s="757" t="s">
        <v>2562</v>
      </c>
      <c r="AN15" s="757" t="s">
        <v>2621</v>
      </c>
      <c r="AO15" s="759" t="s">
        <v>2491</v>
      </c>
      <c r="AP15" s="757" t="s">
        <v>2491</v>
      </c>
      <c r="AQ15" s="757" t="s">
        <v>2684</v>
      </c>
      <c r="AR15" s="757" t="s">
        <v>2552</v>
      </c>
      <c r="AS15" s="757">
        <v>6.75</v>
      </c>
      <c r="AT15" s="757" t="s">
        <v>2625</v>
      </c>
      <c r="AU15" s="757" t="s">
        <v>2688</v>
      </c>
      <c r="AV15" s="757" t="s">
        <v>2691</v>
      </c>
      <c r="AW15" s="757" t="s">
        <v>2650</v>
      </c>
      <c r="AX15" s="757" t="s">
        <v>2552</v>
      </c>
      <c r="AY15" s="757" t="s">
        <v>2579</v>
      </c>
      <c r="AZ15" s="822" t="s">
        <v>514</v>
      </c>
      <c r="BA15" s="823" t="s">
        <v>886</v>
      </c>
      <c r="BB15" s="822" t="s">
        <v>514</v>
      </c>
      <c r="BC15" s="823" t="s">
        <v>886</v>
      </c>
      <c r="BD15" s="757" t="s">
        <v>2652</v>
      </c>
      <c r="BE15" s="757" t="s">
        <v>2693</v>
      </c>
      <c r="BF15" s="757" t="s">
        <v>2696</v>
      </c>
      <c r="BG15" s="757" t="s">
        <v>2697</v>
      </c>
      <c r="BH15" s="757">
        <v>5.75</v>
      </c>
      <c r="BI15" s="757">
        <v>0.1</v>
      </c>
      <c r="BJ15" s="757" t="s">
        <v>2700</v>
      </c>
      <c r="BK15" s="757" t="s">
        <v>2564</v>
      </c>
      <c r="BL15" s="757" t="s">
        <v>2704</v>
      </c>
      <c r="BM15" s="822" t="s">
        <v>514</v>
      </c>
      <c r="BN15" s="823" t="s">
        <v>886</v>
      </c>
    </row>
    <row r="16" spans="1:66" ht="11.45" customHeight="1">
      <c r="A16" s="820" t="s">
        <v>308</v>
      </c>
      <c r="B16" s="821" t="s">
        <v>887</v>
      </c>
      <c r="C16" s="819" t="s">
        <v>2597</v>
      </c>
      <c r="D16" s="850">
        <v>6.75</v>
      </c>
      <c r="E16" s="756">
        <v>7</v>
      </c>
      <c r="F16" s="756" t="s">
        <v>2577</v>
      </c>
      <c r="G16" s="756" t="s">
        <v>2624</v>
      </c>
      <c r="H16" s="756">
        <v>6.5</v>
      </c>
      <c r="I16" s="756">
        <v>6</v>
      </c>
      <c r="J16" s="756">
        <v>6.25</v>
      </c>
      <c r="K16" s="756">
        <v>5.5</v>
      </c>
      <c r="L16" s="756" t="s">
        <v>2676</v>
      </c>
      <c r="M16" s="756" t="s">
        <v>2553</v>
      </c>
      <c r="N16" s="756">
        <v>6.5</v>
      </c>
      <c r="O16" s="756">
        <v>7</v>
      </c>
      <c r="P16" s="756">
        <v>6.5</v>
      </c>
      <c r="Q16" s="756" t="s">
        <v>2489</v>
      </c>
      <c r="R16" s="756">
        <v>6.53</v>
      </c>
      <c r="S16" s="1466" t="s">
        <v>308</v>
      </c>
      <c r="T16" s="821" t="s">
        <v>887</v>
      </c>
      <c r="U16" s="820" t="s">
        <v>308</v>
      </c>
      <c r="V16" s="821" t="s">
        <v>887</v>
      </c>
      <c r="W16" s="756" t="s">
        <v>2556</v>
      </c>
      <c r="X16" s="851" t="s">
        <v>2605</v>
      </c>
      <c r="Y16" s="756" t="s">
        <v>2600</v>
      </c>
      <c r="Z16" s="756" t="s">
        <v>2580</v>
      </c>
      <c r="AA16" s="756">
        <v>6</v>
      </c>
      <c r="AB16" s="756" t="s">
        <v>2610</v>
      </c>
      <c r="AC16" s="756" t="s">
        <v>2613</v>
      </c>
      <c r="AD16" s="756" t="s">
        <v>2615</v>
      </c>
      <c r="AE16" s="756" t="s">
        <v>2616</v>
      </c>
      <c r="AF16" s="756" t="s">
        <v>2492</v>
      </c>
      <c r="AG16" s="756" t="s">
        <v>2646</v>
      </c>
      <c r="AH16" s="756" t="s">
        <v>2681</v>
      </c>
      <c r="AI16" s="820" t="s">
        <v>308</v>
      </c>
      <c r="AJ16" s="821" t="s">
        <v>887</v>
      </c>
      <c r="AK16" s="820" t="s">
        <v>308</v>
      </c>
      <c r="AL16" s="821" t="s">
        <v>887</v>
      </c>
      <c r="AM16" s="756" t="s">
        <v>2647</v>
      </c>
      <c r="AN16" s="756" t="s">
        <v>2622</v>
      </c>
      <c r="AO16" s="756" t="s">
        <v>2682</v>
      </c>
      <c r="AP16" s="756" t="s">
        <v>2491</v>
      </c>
      <c r="AQ16" s="756" t="s">
        <v>2685</v>
      </c>
      <c r="AR16" s="756" t="s">
        <v>2563</v>
      </c>
      <c r="AS16" s="756">
        <v>6.75</v>
      </c>
      <c r="AT16" s="756" t="s">
        <v>2231</v>
      </c>
      <c r="AU16" s="756" t="s">
        <v>2689</v>
      </c>
      <c r="AV16" s="756" t="s">
        <v>2691</v>
      </c>
      <c r="AW16" s="756" t="s">
        <v>2615</v>
      </c>
      <c r="AX16" s="756" t="s">
        <v>2552</v>
      </c>
      <c r="AY16" s="756" t="s">
        <v>2579</v>
      </c>
      <c r="AZ16" s="820" t="s">
        <v>308</v>
      </c>
      <c r="BA16" s="821" t="s">
        <v>887</v>
      </c>
      <c r="BB16" s="820" t="s">
        <v>308</v>
      </c>
      <c r="BC16" s="821" t="s">
        <v>887</v>
      </c>
      <c r="BD16" s="758" t="s">
        <v>2500</v>
      </c>
      <c r="BE16" s="756" t="s">
        <v>2694</v>
      </c>
      <c r="BF16" s="756" t="s">
        <v>2696</v>
      </c>
      <c r="BG16" s="756" t="s">
        <v>2698</v>
      </c>
      <c r="BH16" s="756">
        <v>5.75</v>
      </c>
      <c r="BI16" s="756">
        <v>0.1</v>
      </c>
      <c r="BJ16" s="756" t="s">
        <v>2701</v>
      </c>
      <c r="BK16" s="756" t="s">
        <v>2565</v>
      </c>
      <c r="BL16" s="756" t="s">
        <v>2705</v>
      </c>
      <c r="BM16" s="820" t="s">
        <v>308</v>
      </c>
      <c r="BN16" s="821" t="s">
        <v>887</v>
      </c>
    </row>
    <row r="17" spans="1:66" ht="11.45" customHeight="1">
      <c r="A17" s="822" t="s">
        <v>309</v>
      </c>
      <c r="B17" s="823" t="s">
        <v>888</v>
      </c>
      <c r="C17" s="782" t="s">
        <v>2597</v>
      </c>
      <c r="D17" s="782">
        <v>6</v>
      </c>
      <c r="E17" s="757" t="s">
        <v>52</v>
      </c>
      <c r="F17" s="757" t="s">
        <v>2577</v>
      </c>
      <c r="G17" s="757">
        <v>7</v>
      </c>
      <c r="H17" s="757" t="s">
        <v>52</v>
      </c>
      <c r="I17" s="757" t="s">
        <v>52</v>
      </c>
      <c r="J17" s="757">
        <v>6.5</v>
      </c>
      <c r="K17" s="757" t="s">
        <v>52</v>
      </c>
      <c r="L17" s="757" t="s">
        <v>2677</v>
      </c>
      <c r="M17" s="757" t="s">
        <v>2561</v>
      </c>
      <c r="N17" s="757" t="s">
        <v>2642</v>
      </c>
      <c r="O17" s="757">
        <v>7</v>
      </c>
      <c r="P17" s="757">
        <v>6.5</v>
      </c>
      <c r="Q17" s="757" t="s">
        <v>2489</v>
      </c>
      <c r="R17" s="757">
        <v>6.53</v>
      </c>
      <c r="S17" s="1465" t="s">
        <v>309</v>
      </c>
      <c r="T17" s="823" t="s">
        <v>888</v>
      </c>
      <c r="U17" s="822" t="s">
        <v>309</v>
      </c>
      <c r="V17" s="823" t="s">
        <v>888</v>
      </c>
      <c r="W17" s="757">
        <v>3</v>
      </c>
      <c r="X17" s="757" t="s">
        <v>2605</v>
      </c>
      <c r="Y17" s="757" t="s">
        <v>2600</v>
      </c>
      <c r="Z17" s="757" t="s">
        <v>2553</v>
      </c>
      <c r="AA17" s="757" t="s">
        <v>52</v>
      </c>
      <c r="AB17" s="757" t="s">
        <v>2559</v>
      </c>
      <c r="AC17" s="757" t="s">
        <v>2613</v>
      </c>
      <c r="AD17" s="757" t="s">
        <v>52</v>
      </c>
      <c r="AE17" s="757" t="s">
        <v>2616</v>
      </c>
      <c r="AF17" s="757" t="s">
        <v>52</v>
      </c>
      <c r="AG17" s="757" t="s">
        <v>2646</v>
      </c>
      <c r="AH17" s="757" t="s">
        <v>2681</v>
      </c>
      <c r="AI17" s="822" t="s">
        <v>309</v>
      </c>
      <c r="AJ17" s="823" t="s">
        <v>888</v>
      </c>
      <c r="AK17" s="822" t="s">
        <v>309</v>
      </c>
      <c r="AL17" s="823" t="s">
        <v>888</v>
      </c>
      <c r="AM17" s="757" t="s">
        <v>2648</v>
      </c>
      <c r="AN17" s="757" t="s">
        <v>2622</v>
      </c>
      <c r="AO17" s="757" t="s">
        <v>2683</v>
      </c>
      <c r="AP17" s="757" t="s">
        <v>2624</v>
      </c>
      <c r="AQ17" s="757" t="s">
        <v>52</v>
      </c>
      <c r="AR17" s="757">
        <v>6.5</v>
      </c>
      <c r="AS17" s="757">
        <v>7</v>
      </c>
      <c r="AT17" s="757" t="s">
        <v>2231</v>
      </c>
      <c r="AU17" s="757">
        <v>6.48</v>
      </c>
      <c r="AV17" s="757" t="s">
        <v>52</v>
      </c>
      <c r="AW17" s="757" t="s">
        <v>2651</v>
      </c>
      <c r="AX17" s="757" t="s">
        <v>2552</v>
      </c>
      <c r="AY17" s="757" t="s">
        <v>2579</v>
      </c>
      <c r="AZ17" s="822" t="s">
        <v>309</v>
      </c>
      <c r="BA17" s="823" t="s">
        <v>888</v>
      </c>
      <c r="BB17" s="822" t="s">
        <v>309</v>
      </c>
      <c r="BC17" s="823" t="s">
        <v>888</v>
      </c>
      <c r="BD17" s="757" t="s">
        <v>2501</v>
      </c>
      <c r="BE17" s="757" t="s">
        <v>2695</v>
      </c>
      <c r="BF17" s="757" t="s">
        <v>2696</v>
      </c>
      <c r="BG17" s="757" t="s">
        <v>2555</v>
      </c>
      <c r="BH17" s="757">
        <v>6.5</v>
      </c>
      <c r="BI17" s="826" t="s">
        <v>52</v>
      </c>
      <c r="BJ17" s="757" t="s">
        <v>2702</v>
      </c>
      <c r="BK17" s="757" t="s">
        <v>2565</v>
      </c>
      <c r="BL17" s="757">
        <v>6.33</v>
      </c>
      <c r="BM17" s="822" t="s">
        <v>309</v>
      </c>
      <c r="BN17" s="823" t="s">
        <v>888</v>
      </c>
    </row>
    <row r="18" spans="1:66" ht="11.45" customHeight="1">
      <c r="A18" s="820" t="s">
        <v>329</v>
      </c>
      <c r="B18" s="821" t="s">
        <v>889</v>
      </c>
      <c r="C18" s="819" t="s">
        <v>52</v>
      </c>
      <c r="D18" s="819">
        <v>7</v>
      </c>
      <c r="E18" s="756" t="s">
        <v>52</v>
      </c>
      <c r="F18" s="756" t="s">
        <v>2577</v>
      </c>
      <c r="G18" s="756" t="s">
        <v>2624</v>
      </c>
      <c r="H18" s="756" t="s">
        <v>52</v>
      </c>
      <c r="I18" s="756" t="s">
        <v>52</v>
      </c>
      <c r="J18" s="756" t="s">
        <v>2496</v>
      </c>
      <c r="K18" s="756" t="s">
        <v>52</v>
      </c>
      <c r="L18" s="756" t="s">
        <v>2677</v>
      </c>
      <c r="M18" s="756" t="s">
        <v>2561</v>
      </c>
      <c r="N18" s="756" t="s">
        <v>52</v>
      </c>
      <c r="O18" s="756">
        <v>7</v>
      </c>
      <c r="P18" s="756">
        <v>7</v>
      </c>
      <c r="Q18" s="756" t="s">
        <v>2489</v>
      </c>
      <c r="R18" s="858" t="s">
        <v>2644</v>
      </c>
      <c r="S18" s="1466" t="s">
        <v>329</v>
      </c>
      <c r="T18" s="821" t="s">
        <v>889</v>
      </c>
      <c r="U18" s="820" t="s">
        <v>329</v>
      </c>
      <c r="V18" s="821" t="s">
        <v>889</v>
      </c>
      <c r="W18" s="756">
        <v>3</v>
      </c>
      <c r="X18" s="851" t="s">
        <v>2605</v>
      </c>
      <c r="Y18" s="851">
        <v>6.21</v>
      </c>
      <c r="Z18" s="756" t="s">
        <v>52</v>
      </c>
      <c r="AA18" s="756" t="s">
        <v>52</v>
      </c>
      <c r="AB18" s="756" t="s">
        <v>2559</v>
      </c>
      <c r="AC18" s="756" t="s">
        <v>2613</v>
      </c>
      <c r="AD18" s="756" t="s">
        <v>52</v>
      </c>
      <c r="AE18" s="756" t="s">
        <v>2616</v>
      </c>
      <c r="AF18" s="756" t="s">
        <v>52</v>
      </c>
      <c r="AG18" s="756" t="s">
        <v>52</v>
      </c>
      <c r="AH18" s="756" t="s">
        <v>2681</v>
      </c>
      <c r="AI18" s="820" t="s">
        <v>329</v>
      </c>
      <c r="AJ18" s="821" t="s">
        <v>889</v>
      </c>
      <c r="AK18" s="820" t="s">
        <v>329</v>
      </c>
      <c r="AL18" s="821" t="s">
        <v>889</v>
      </c>
      <c r="AM18" s="756" t="s">
        <v>2648</v>
      </c>
      <c r="AN18" s="756" t="s">
        <v>2622</v>
      </c>
      <c r="AO18" s="756" t="s">
        <v>2683</v>
      </c>
      <c r="AP18" s="756" t="s">
        <v>2624</v>
      </c>
      <c r="AQ18" s="756" t="s">
        <v>52</v>
      </c>
      <c r="AR18" s="756" t="s">
        <v>52</v>
      </c>
      <c r="AS18" s="756" t="s">
        <v>2578</v>
      </c>
      <c r="AT18" s="756" t="s">
        <v>2231</v>
      </c>
      <c r="AU18" s="756" t="s">
        <v>2690</v>
      </c>
      <c r="AV18" s="756" t="s">
        <v>52</v>
      </c>
      <c r="AW18" s="756" t="s">
        <v>2651</v>
      </c>
      <c r="AX18" s="756" t="s">
        <v>2552</v>
      </c>
      <c r="AY18" s="756" t="s">
        <v>2579</v>
      </c>
      <c r="AZ18" s="820" t="s">
        <v>329</v>
      </c>
      <c r="BA18" s="821" t="s">
        <v>889</v>
      </c>
      <c r="BB18" s="820" t="s">
        <v>329</v>
      </c>
      <c r="BC18" s="821" t="s">
        <v>889</v>
      </c>
      <c r="BD18" s="758" t="s">
        <v>2653</v>
      </c>
      <c r="BE18" s="756">
        <v>0.03</v>
      </c>
      <c r="BF18" s="756" t="s">
        <v>2696</v>
      </c>
      <c r="BG18" s="756" t="s">
        <v>2552</v>
      </c>
      <c r="BH18" s="756">
        <v>6.5</v>
      </c>
      <c r="BI18" s="827" t="s">
        <v>52</v>
      </c>
      <c r="BJ18" s="756" t="s">
        <v>2702</v>
      </c>
      <c r="BK18" s="756" t="s">
        <v>2565</v>
      </c>
      <c r="BL18" s="756">
        <v>6.33</v>
      </c>
      <c r="BM18" s="820" t="s">
        <v>329</v>
      </c>
      <c r="BN18" s="821" t="s">
        <v>889</v>
      </c>
    </row>
    <row r="19" spans="1:66" ht="11.45" customHeight="1">
      <c r="A19" s="2237" t="s">
        <v>153</v>
      </c>
      <c r="B19" s="223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757"/>
      <c r="P19" s="759" t="s">
        <v>136</v>
      </c>
      <c r="Q19" s="757"/>
      <c r="R19" s="759"/>
      <c r="S19" s="2237" t="s">
        <v>153</v>
      </c>
      <c r="T19" s="2237"/>
      <c r="U19" s="2237" t="s">
        <v>153</v>
      </c>
      <c r="V19" s="2237"/>
      <c r="W19" s="757"/>
      <c r="X19" s="757"/>
      <c r="Y19" s="757"/>
      <c r="Z19" s="757"/>
      <c r="AA19" s="757"/>
      <c r="AB19" s="757"/>
      <c r="AC19" s="759"/>
      <c r="AD19" s="759"/>
      <c r="AE19" s="759"/>
      <c r="AF19" s="759"/>
      <c r="AG19" s="757"/>
      <c r="AH19" s="759"/>
      <c r="AI19" s="2237" t="s">
        <v>153</v>
      </c>
      <c r="AJ19" s="2237"/>
      <c r="AK19" s="2237" t="s">
        <v>153</v>
      </c>
      <c r="AL19" s="2237"/>
      <c r="AM19" s="759"/>
      <c r="AN19" s="757"/>
      <c r="AO19" s="759"/>
      <c r="AP19" s="757"/>
      <c r="AQ19" s="757"/>
      <c r="AR19" s="757"/>
      <c r="AS19" s="757"/>
      <c r="AT19" s="757"/>
      <c r="AU19" s="757"/>
      <c r="AV19" s="757"/>
      <c r="AW19" s="757"/>
      <c r="AX19" s="757"/>
      <c r="AY19" s="757"/>
      <c r="AZ19" s="2237" t="s">
        <v>153</v>
      </c>
      <c r="BA19" s="2237"/>
      <c r="BB19" s="2237" t="s">
        <v>153</v>
      </c>
      <c r="BC19" s="2237"/>
      <c r="BD19" s="759"/>
      <c r="BE19" s="759"/>
      <c r="BF19" s="759"/>
      <c r="BG19" s="759"/>
      <c r="BH19" s="759"/>
      <c r="BI19" s="759"/>
      <c r="BJ19" s="757"/>
      <c r="BK19" s="757"/>
      <c r="BL19" s="757"/>
      <c r="BM19" s="2237" t="s">
        <v>153</v>
      </c>
      <c r="BN19" s="2237"/>
    </row>
    <row r="20" spans="1:66" ht="11.45" customHeight="1">
      <c r="A20" s="2234" t="s">
        <v>154</v>
      </c>
      <c r="B20" s="2234"/>
      <c r="C20" s="756"/>
      <c r="D20" s="756"/>
      <c r="E20" s="756"/>
      <c r="F20" s="756"/>
      <c r="G20" s="756"/>
      <c r="H20" s="756"/>
      <c r="I20" s="756"/>
      <c r="J20" s="756"/>
      <c r="K20" s="756"/>
      <c r="L20" s="756"/>
      <c r="M20" s="756"/>
      <c r="N20" s="756"/>
      <c r="O20" s="756"/>
      <c r="P20" s="758"/>
      <c r="Q20" s="756"/>
      <c r="R20" s="758"/>
      <c r="S20" s="2234" t="s">
        <v>154</v>
      </c>
      <c r="T20" s="2234"/>
      <c r="U20" s="2234" t="s">
        <v>154</v>
      </c>
      <c r="V20" s="2234"/>
      <c r="W20" s="827"/>
      <c r="X20" s="851"/>
      <c r="Y20" s="756"/>
      <c r="Z20" s="756"/>
      <c r="AA20" s="756"/>
      <c r="AB20" s="756"/>
      <c r="AC20" s="758"/>
      <c r="AD20" s="758"/>
      <c r="AE20" s="758"/>
      <c r="AF20" s="758"/>
      <c r="AG20" s="756"/>
      <c r="AH20" s="758"/>
      <c r="AI20" s="2234" t="s">
        <v>154</v>
      </c>
      <c r="AJ20" s="2234"/>
      <c r="AK20" s="2234" t="s">
        <v>154</v>
      </c>
      <c r="AL20" s="2234"/>
      <c r="AM20" s="758"/>
      <c r="AN20" s="756"/>
      <c r="AO20" s="758"/>
      <c r="AP20" s="756"/>
      <c r="AQ20" s="756"/>
      <c r="AR20" s="756"/>
      <c r="AS20" s="756"/>
      <c r="AT20" s="756"/>
      <c r="AU20" s="756"/>
      <c r="AV20" s="756"/>
      <c r="AW20" s="756"/>
      <c r="AX20" s="756"/>
      <c r="AY20" s="756"/>
      <c r="AZ20" s="2234" t="s">
        <v>154</v>
      </c>
      <c r="BA20" s="2234"/>
      <c r="BB20" s="2234" t="s">
        <v>154</v>
      </c>
      <c r="BC20" s="2234"/>
      <c r="BD20" s="758"/>
      <c r="BE20" s="758"/>
      <c r="BF20" s="758"/>
      <c r="BG20" s="758"/>
      <c r="BH20" s="758"/>
      <c r="BI20" s="758"/>
      <c r="BJ20" s="756"/>
      <c r="BK20" s="756"/>
      <c r="BL20" s="756"/>
      <c r="BM20" s="2234" t="s">
        <v>154</v>
      </c>
      <c r="BN20" s="2234"/>
    </row>
    <row r="21" spans="1:66" ht="11.45" customHeight="1">
      <c r="A21" s="828"/>
      <c r="B21" s="351" t="s">
        <v>155</v>
      </c>
      <c r="C21" s="757" t="s">
        <v>2125</v>
      </c>
      <c r="D21" s="757">
        <v>4</v>
      </c>
      <c r="E21" s="757" t="s">
        <v>2474</v>
      </c>
      <c r="F21" s="757" t="s">
        <v>2474</v>
      </c>
      <c r="G21" s="757" t="s">
        <v>2157</v>
      </c>
      <c r="H21" s="757">
        <v>8</v>
      </c>
      <c r="I21" s="757">
        <v>8</v>
      </c>
      <c r="J21" s="757">
        <v>8</v>
      </c>
      <c r="K21" s="757" t="s">
        <v>52</v>
      </c>
      <c r="L21" s="757">
        <v>6</v>
      </c>
      <c r="M21" s="757">
        <v>8</v>
      </c>
      <c r="N21" s="757">
        <v>8</v>
      </c>
      <c r="O21" s="757" t="s">
        <v>2125</v>
      </c>
      <c r="P21" s="757">
        <v>8</v>
      </c>
      <c r="Q21" s="757">
        <v>8</v>
      </c>
      <c r="R21" s="757" t="s">
        <v>2125</v>
      </c>
      <c r="S21" s="1459"/>
      <c r="T21" s="351" t="s">
        <v>155</v>
      </c>
      <c r="U21" s="765"/>
      <c r="V21" s="351" t="s">
        <v>155</v>
      </c>
      <c r="W21" s="757">
        <v>8</v>
      </c>
      <c r="X21" s="757">
        <v>8</v>
      </c>
      <c r="Y21" s="757">
        <v>8</v>
      </c>
      <c r="Z21" s="757">
        <v>8</v>
      </c>
      <c r="AA21" s="757">
        <v>8</v>
      </c>
      <c r="AB21" s="757">
        <v>8</v>
      </c>
      <c r="AC21" s="757" t="s">
        <v>2157</v>
      </c>
      <c r="AD21" s="757">
        <v>9</v>
      </c>
      <c r="AE21" s="757">
        <v>8</v>
      </c>
      <c r="AF21" s="757" t="s">
        <v>2125</v>
      </c>
      <c r="AG21" s="757">
        <v>8</v>
      </c>
      <c r="AH21" s="757">
        <v>8</v>
      </c>
      <c r="AI21" s="765"/>
      <c r="AJ21" s="351" t="s">
        <v>155</v>
      </c>
      <c r="AK21" s="765"/>
      <c r="AL21" s="351" t="s">
        <v>155</v>
      </c>
      <c r="AM21" s="757">
        <v>8</v>
      </c>
      <c r="AN21" s="757">
        <v>8</v>
      </c>
      <c r="AO21" s="757">
        <v>8</v>
      </c>
      <c r="AP21" s="757">
        <v>8</v>
      </c>
      <c r="AQ21" s="757">
        <v>8</v>
      </c>
      <c r="AR21" s="757">
        <v>8</v>
      </c>
      <c r="AS21" s="757">
        <v>8</v>
      </c>
      <c r="AT21" s="757">
        <v>8</v>
      </c>
      <c r="AU21" s="757">
        <v>8</v>
      </c>
      <c r="AV21" s="757">
        <v>8</v>
      </c>
      <c r="AW21" s="757" t="s">
        <v>2125</v>
      </c>
      <c r="AX21" s="757">
        <v>8</v>
      </c>
      <c r="AY21" s="757">
        <v>8</v>
      </c>
      <c r="AZ21" s="765"/>
      <c r="BA21" s="351" t="s">
        <v>155</v>
      </c>
      <c r="BB21" s="765"/>
      <c r="BC21" s="351" t="s">
        <v>155</v>
      </c>
      <c r="BD21" s="757" t="s">
        <v>2157</v>
      </c>
      <c r="BE21" s="757" t="s">
        <v>2127</v>
      </c>
      <c r="BF21" s="757" t="s">
        <v>2157</v>
      </c>
      <c r="BG21" s="757">
        <v>8</v>
      </c>
      <c r="BH21" s="757">
        <v>6.5</v>
      </c>
      <c r="BI21" s="757" t="s">
        <v>2127</v>
      </c>
      <c r="BJ21" s="757" t="s">
        <v>2232</v>
      </c>
      <c r="BK21" s="757">
        <v>8</v>
      </c>
      <c r="BL21" s="757" t="s">
        <v>2125</v>
      </c>
      <c r="BM21" s="765"/>
      <c r="BN21" s="351" t="s">
        <v>155</v>
      </c>
    </row>
    <row r="22" spans="1:66" ht="11.45" customHeight="1">
      <c r="A22" s="33"/>
      <c r="B22" s="829" t="s">
        <v>156</v>
      </c>
      <c r="C22" s="851" t="s">
        <v>52</v>
      </c>
      <c r="D22" s="756" t="s">
        <v>52</v>
      </c>
      <c r="E22" s="851" t="s">
        <v>52</v>
      </c>
      <c r="F22" s="756" t="s">
        <v>52</v>
      </c>
      <c r="G22" s="756" t="s">
        <v>52</v>
      </c>
      <c r="H22" s="756" t="s">
        <v>52</v>
      </c>
      <c r="I22" s="756" t="s">
        <v>52</v>
      </c>
      <c r="J22" s="756" t="s">
        <v>52</v>
      </c>
      <c r="K22" s="756" t="s">
        <v>52</v>
      </c>
      <c r="L22" s="756" t="s">
        <v>52</v>
      </c>
      <c r="M22" s="756" t="s">
        <v>52</v>
      </c>
      <c r="N22" s="756" t="s">
        <v>52</v>
      </c>
      <c r="O22" s="781">
        <v>8</v>
      </c>
      <c r="P22" s="758" t="s">
        <v>52</v>
      </c>
      <c r="Q22" s="756" t="s">
        <v>52</v>
      </c>
      <c r="R22" s="756" t="s">
        <v>52</v>
      </c>
      <c r="S22" s="1460"/>
      <c r="T22" s="829" t="s">
        <v>156</v>
      </c>
      <c r="V22" s="829" t="s">
        <v>156</v>
      </c>
      <c r="W22" s="756" t="s">
        <v>52</v>
      </c>
      <c r="X22" s="851" t="s">
        <v>52</v>
      </c>
      <c r="Y22" s="756" t="s">
        <v>52</v>
      </c>
      <c r="Z22" s="756" t="s">
        <v>52</v>
      </c>
      <c r="AA22" s="756" t="s">
        <v>52</v>
      </c>
      <c r="AB22" s="756">
        <v>8</v>
      </c>
      <c r="AC22" s="756" t="s">
        <v>2157</v>
      </c>
      <c r="AD22" s="756" t="s">
        <v>52</v>
      </c>
      <c r="AE22" s="756" t="s">
        <v>52</v>
      </c>
      <c r="AF22" s="756" t="s">
        <v>2125</v>
      </c>
      <c r="AG22" s="756" t="s">
        <v>52</v>
      </c>
      <c r="AH22" s="756" t="s">
        <v>52</v>
      </c>
      <c r="AJ22" s="829" t="s">
        <v>156</v>
      </c>
      <c r="AL22" s="829" t="s">
        <v>156</v>
      </c>
      <c r="AM22" s="756" t="s">
        <v>52</v>
      </c>
      <c r="AN22" s="756" t="s">
        <v>52</v>
      </c>
      <c r="AO22" s="756" t="s">
        <v>52</v>
      </c>
      <c r="AP22" s="756" t="s">
        <v>52</v>
      </c>
      <c r="AQ22" s="756" t="s">
        <v>52</v>
      </c>
      <c r="AR22" s="756" t="s">
        <v>52</v>
      </c>
      <c r="AS22" s="756" t="s">
        <v>52</v>
      </c>
      <c r="AT22" s="756" t="s">
        <v>52</v>
      </c>
      <c r="AU22" s="756" t="s">
        <v>52</v>
      </c>
      <c r="AV22" s="756" t="s">
        <v>52</v>
      </c>
      <c r="AW22" s="756" t="s">
        <v>52</v>
      </c>
      <c r="AX22" s="756" t="s">
        <v>52</v>
      </c>
      <c r="AY22" s="756" t="s">
        <v>52</v>
      </c>
      <c r="BA22" s="829" t="s">
        <v>156</v>
      </c>
      <c r="BC22" s="829" t="s">
        <v>156</v>
      </c>
      <c r="BD22" s="756" t="s">
        <v>52</v>
      </c>
      <c r="BE22" s="756" t="s">
        <v>52</v>
      </c>
      <c r="BF22" s="756" t="s">
        <v>52</v>
      </c>
      <c r="BG22" s="758" t="s">
        <v>52</v>
      </c>
      <c r="BH22" s="756" t="s">
        <v>52</v>
      </c>
      <c r="BI22" s="756" t="s">
        <v>52</v>
      </c>
      <c r="BJ22" s="756" t="s">
        <v>52</v>
      </c>
      <c r="BK22" s="830" t="s">
        <v>52</v>
      </c>
      <c r="BL22" s="756" t="s">
        <v>52</v>
      </c>
      <c r="BN22" s="829" t="s">
        <v>156</v>
      </c>
    </row>
    <row r="23" spans="1:66" ht="22.5" customHeight="1">
      <c r="A23" s="2237" t="s">
        <v>162</v>
      </c>
      <c r="B23" s="223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9"/>
      <c r="Q23" s="757"/>
      <c r="R23" s="759"/>
      <c r="S23" s="2237" t="s">
        <v>162</v>
      </c>
      <c r="T23" s="2237"/>
      <c r="U23" s="2237" t="s">
        <v>162</v>
      </c>
      <c r="V23" s="223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9"/>
      <c r="AI23" s="2237" t="s">
        <v>162</v>
      </c>
      <c r="AJ23" s="2237"/>
      <c r="AK23" s="2237" t="s">
        <v>162</v>
      </c>
      <c r="AL23" s="2237"/>
      <c r="AM23" s="759"/>
      <c r="AN23" s="757"/>
      <c r="AO23" s="757"/>
      <c r="AP23" s="757"/>
      <c r="AQ23" s="757"/>
      <c r="AR23" s="757"/>
      <c r="AS23" s="757"/>
      <c r="AT23" s="757"/>
      <c r="AU23" s="757"/>
      <c r="AV23" s="757"/>
      <c r="AW23" s="757"/>
      <c r="AX23" s="757"/>
      <c r="AY23" s="757"/>
      <c r="AZ23" s="2237" t="s">
        <v>162</v>
      </c>
      <c r="BA23" s="2237"/>
      <c r="BB23" s="2237" t="s">
        <v>162</v>
      </c>
      <c r="BC23" s="2237"/>
      <c r="BD23" s="759"/>
      <c r="BE23" s="757"/>
      <c r="BF23" s="757"/>
      <c r="BG23" s="759"/>
      <c r="BH23" s="757"/>
      <c r="BI23" s="757"/>
      <c r="BJ23" s="757"/>
      <c r="BK23" s="757"/>
      <c r="BL23" s="757"/>
      <c r="BM23" s="2237" t="s">
        <v>162</v>
      </c>
      <c r="BN23" s="2237"/>
    </row>
    <row r="24" spans="1:66" ht="11.45" customHeight="1">
      <c r="B24" s="829" t="s">
        <v>155</v>
      </c>
      <c r="C24" s="756" t="s">
        <v>1665</v>
      </c>
      <c r="D24" s="781" t="s">
        <v>1665</v>
      </c>
      <c r="E24" s="756" t="s">
        <v>1665</v>
      </c>
      <c r="F24" s="756" t="s">
        <v>1665</v>
      </c>
      <c r="G24" s="781" t="s">
        <v>1665</v>
      </c>
      <c r="H24" s="756" t="s">
        <v>1665</v>
      </c>
      <c r="I24" s="756" t="s">
        <v>52</v>
      </c>
      <c r="J24" s="756" t="s">
        <v>1665</v>
      </c>
      <c r="K24" s="756" t="s">
        <v>52</v>
      </c>
      <c r="L24" s="756">
        <v>9</v>
      </c>
      <c r="M24" s="756">
        <v>9</v>
      </c>
      <c r="N24" s="756">
        <v>9</v>
      </c>
      <c r="O24" s="781">
        <v>9</v>
      </c>
      <c r="P24" s="756" t="s">
        <v>1665</v>
      </c>
      <c r="Q24" s="851">
        <v>9</v>
      </c>
      <c r="R24" s="781">
        <v>9</v>
      </c>
      <c r="S24" s="1460"/>
      <c r="T24" s="829" t="s">
        <v>155</v>
      </c>
      <c r="V24" s="829" t="s">
        <v>155</v>
      </c>
      <c r="W24" s="756">
        <v>9</v>
      </c>
      <c r="X24" s="851">
        <v>9</v>
      </c>
      <c r="Y24" s="756">
        <v>9</v>
      </c>
      <c r="Z24" s="756" t="s">
        <v>52</v>
      </c>
      <c r="AA24" s="756" t="s">
        <v>1665</v>
      </c>
      <c r="AB24" s="756">
        <v>9</v>
      </c>
      <c r="AC24" s="756" t="s">
        <v>1326</v>
      </c>
      <c r="AD24" s="756">
        <v>9</v>
      </c>
      <c r="AE24" s="756" t="s">
        <v>1471</v>
      </c>
      <c r="AF24" s="851" t="s">
        <v>1665</v>
      </c>
      <c r="AG24" s="756">
        <v>9</v>
      </c>
      <c r="AH24" s="756">
        <v>9</v>
      </c>
      <c r="AJ24" s="829" t="s">
        <v>155</v>
      </c>
      <c r="AL24" s="829" t="s">
        <v>155</v>
      </c>
      <c r="AM24" s="756">
        <v>9</v>
      </c>
      <c r="AN24" s="756">
        <v>9</v>
      </c>
      <c r="AO24" s="756" t="s">
        <v>1471</v>
      </c>
      <c r="AP24" s="756">
        <v>9</v>
      </c>
      <c r="AQ24" s="756">
        <v>9</v>
      </c>
      <c r="AR24" s="756">
        <v>9</v>
      </c>
      <c r="AS24" s="756" t="s">
        <v>1471</v>
      </c>
      <c r="AT24" s="756">
        <v>9</v>
      </c>
      <c r="AU24" s="756" t="s">
        <v>1471</v>
      </c>
      <c r="AV24" s="756">
        <v>9</v>
      </c>
      <c r="AW24" s="756" t="s">
        <v>1471</v>
      </c>
      <c r="AX24" s="756" t="s">
        <v>1471</v>
      </c>
      <c r="AY24" s="756">
        <v>9</v>
      </c>
      <c r="BA24" s="829" t="s">
        <v>155</v>
      </c>
      <c r="BC24" s="829" t="s">
        <v>155</v>
      </c>
      <c r="BD24" s="756" t="s">
        <v>1471</v>
      </c>
      <c r="BE24" s="756" t="s">
        <v>1326</v>
      </c>
      <c r="BF24" s="756" t="s">
        <v>2157</v>
      </c>
      <c r="BG24" s="756">
        <v>9</v>
      </c>
      <c r="BH24" s="756" t="s">
        <v>52</v>
      </c>
      <c r="BI24" s="756" t="s">
        <v>2558</v>
      </c>
      <c r="BJ24" s="756" t="s">
        <v>2508</v>
      </c>
      <c r="BK24" s="756">
        <v>9</v>
      </c>
      <c r="BL24" s="756" t="s">
        <v>1326</v>
      </c>
      <c r="BN24" s="829" t="s">
        <v>155</v>
      </c>
    </row>
    <row r="25" spans="1:66" ht="11.45" customHeight="1">
      <c r="A25" s="765"/>
      <c r="B25" s="351" t="s">
        <v>156</v>
      </c>
      <c r="C25" s="757" t="s">
        <v>52</v>
      </c>
      <c r="D25" s="757" t="s">
        <v>52</v>
      </c>
      <c r="E25" s="757" t="s">
        <v>52</v>
      </c>
      <c r="F25" s="757" t="s">
        <v>52</v>
      </c>
      <c r="G25" s="757" t="s">
        <v>52</v>
      </c>
      <c r="H25" s="757" t="s">
        <v>52</v>
      </c>
      <c r="I25" s="757" t="s">
        <v>1665</v>
      </c>
      <c r="J25" s="757" t="s">
        <v>52</v>
      </c>
      <c r="K25" s="757" t="s">
        <v>52</v>
      </c>
      <c r="L25" s="757" t="s">
        <v>52</v>
      </c>
      <c r="M25" s="757">
        <v>9</v>
      </c>
      <c r="N25" s="757">
        <v>9</v>
      </c>
      <c r="O25" s="879">
        <v>9</v>
      </c>
      <c r="P25" s="757" t="s">
        <v>52</v>
      </c>
      <c r="Q25" s="757">
        <v>9</v>
      </c>
      <c r="R25" s="759" t="s">
        <v>52</v>
      </c>
      <c r="S25" s="1459"/>
      <c r="T25" s="351" t="s">
        <v>156</v>
      </c>
      <c r="U25" s="765"/>
      <c r="V25" s="351" t="s">
        <v>156</v>
      </c>
      <c r="W25" s="757" t="s">
        <v>52</v>
      </c>
      <c r="X25" s="757" t="s">
        <v>52</v>
      </c>
      <c r="Y25" s="757" t="s">
        <v>52</v>
      </c>
      <c r="Z25" s="757">
        <v>9</v>
      </c>
      <c r="AA25" s="757" t="s">
        <v>52</v>
      </c>
      <c r="AB25" s="757">
        <v>9</v>
      </c>
      <c r="AC25" s="757" t="s">
        <v>1326</v>
      </c>
      <c r="AD25" s="757">
        <v>9</v>
      </c>
      <c r="AE25" s="757" t="s">
        <v>1471</v>
      </c>
      <c r="AF25" s="1062" t="s">
        <v>52</v>
      </c>
      <c r="AG25" s="757">
        <v>9</v>
      </c>
      <c r="AH25" s="831" t="s">
        <v>52</v>
      </c>
      <c r="AI25" s="765"/>
      <c r="AJ25" s="351" t="s">
        <v>156</v>
      </c>
      <c r="AK25" s="765"/>
      <c r="AL25" s="351" t="s">
        <v>156</v>
      </c>
      <c r="AM25" s="757">
        <v>9</v>
      </c>
      <c r="AN25" s="757" t="s">
        <v>52</v>
      </c>
      <c r="AO25" s="831" t="s">
        <v>52</v>
      </c>
      <c r="AP25" s="757" t="s">
        <v>52</v>
      </c>
      <c r="AQ25" s="757" t="s">
        <v>52</v>
      </c>
      <c r="AR25" s="757" t="s">
        <v>52</v>
      </c>
      <c r="AS25" s="757" t="s">
        <v>52</v>
      </c>
      <c r="AT25" s="757" t="s">
        <v>52</v>
      </c>
      <c r="AU25" s="757" t="s">
        <v>52</v>
      </c>
      <c r="AV25" s="757" t="s">
        <v>52</v>
      </c>
      <c r="AW25" s="757" t="s">
        <v>52</v>
      </c>
      <c r="AX25" s="757" t="s">
        <v>52</v>
      </c>
      <c r="AY25" s="757" t="s">
        <v>52</v>
      </c>
      <c r="AZ25" s="765"/>
      <c r="BA25" s="351" t="s">
        <v>156</v>
      </c>
      <c r="BB25" s="765"/>
      <c r="BC25" s="351" t="s">
        <v>156</v>
      </c>
      <c r="BD25" s="757" t="s">
        <v>52</v>
      </c>
      <c r="BE25" s="757" t="s">
        <v>1326</v>
      </c>
      <c r="BF25" s="757" t="s">
        <v>52</v>
      </c>
      <c r="BG25" s="759" t="s">
        <v>52</v>
      </c>
      <c r="BH25" s="757" t="s">
        <v>52</v>
      </c>
      <c r="BI25" s="831" t="s">
        <v>52</v>
      </c>
      <c r="BJ25" s="757" t="s">
        <v>52</v>
      </c>
      <c r="BK25" s="831" t="s">
        <v>52</v>
      </c>
      <c r="BL25" s="757" t="s">
        <v>52</v>
      </c>
      <c r="BM25" s="765"/>
      <c r="BN25" s="351" t="s">
        <v>156</v>
      </c>
    </row>
    <row r="26" spans="1:66" ht="12.75" customHeight="1">
      <c r="A26" s="2234" t="s">
        <v>28</v>
      </c>
      <c r="B26" s="2234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8"/>
      <c r="R26" s="758"/>
      <c r="S26" s="2234" t="s">
        <v>28</v>
      </c>
      <c r="T26" s="2234"/>
      <c r="U26" s="2234" t="s">
        <v>28</v>
      </c>
      <c r="V26" s="2234"/>
      <c r="W26" s="756"/>
      <c r="X26" s="851"/>
      <c r="Y26" s="756"/>
      <c r="Z26" s="756"/>
      <c r="AA26" s="756"/>
      <c r="AB26" s="756"/>
      <c r="AC26" s="756"/>
      <c r="AD26" s="756"/>
      <c r="AE26" s="756"/>
      <c r="AF26" s="756"/>
      <c r="AG26" s="756"/>
      <c r="AH26" s="756"/>
      <c r="AI26" s="2234" t="s">
        <v>28</v>
      </c>
      <c r="AJ26" s="2234"/>
      <c r="AK26" s="2234" t="s">
        <v>28</v>
      </c>
      <c r="AL26" s="2234"/>
      <c r="AM26" s="756"/>
      <c r="AN26" s="756"/>
      <c r="AO26" s="756"/>
      <c r="AP26" s="756"/>
      <c r="AQ26" s="756"/>
      <c r="AR26" s="756"/>
      <c r="AS26" s="756"/>
      <c r="AT26" s="756"/>
      <c r="AU26" s="756"/>
      <c r="AV26" s="756"/>
      <c r="AW26" s="756"/>
      <c r="AX26" s="756"/>
      <c r="AY26" s="756"/>
      <c r="AZ26" s="2234" t="s">
        <v>28</v>
      </c>
      <c r="BA26" s="2234"/>
      <c r="BB26" s="2234" t="s">
        <v>28</v>
      </c>
      <c r="BC26" s="2234"/>
      <c r="BD26" s="756"/>
      <c r="BE26" s="756"/>
      <c r="BF26" s="756"/>
      <c r="BG26" s="758"/>
      <c r="BH26" s="756"/>
      <c r="BI26" s="756"/>
      <c r="BJ26" s="756"/>
      <c r="BK26" s="756"/>
      <c r="BL26" s="756"/>
      <c r="BM26" s="2234" t="s">
        <v>28</v>
      </c>
      <c r="BN26" s="2234"/>
    </row>
    <row r="27" spans="1:66" ht="11.45" customHeight="1">
      <c r="A27" s="765"/>
      <c r="B27" s="351" t="s">
        <v>155</v>
      </c>
      <c r="C27" s="757" t="s">
        <v>1665</v>
      </c>
      <c r="D27" s="879" t="s">
        <v>1665</v>
      </c>
      <c r="E27" s="757" t="s">
        <v>1665</v>
      </c>
      <c r="F27" s="757">
        <v>9</v>
      </c>
      <c r="G27" s="879" t="s">
        <v>1665</v>
      </c>
      <c r="H27" s="879">
        <v>9</v>
      </c>
      <c r="I27" s="757" t="s">
        <v>52</v>
      </c>
      <c r="J27" s="757" t="s">
        <v>1665</v>
      </c>
      <c r="K27" s="757" t="s">
        <v>52</v>
      </c>
      <c r="L27" s="757">
        <v>9</v>
      </c>
      <c r="M27" s="757">
        <v>9</v>
      </c>
      <c r="N27" s="757">
        <v>9</v>
      </c>
      <c r="O27" s="879">
        <v>9</v>
      </c>
      <c r="P27" s="757">
        <v>9</v>
      </c>
      <c r="Q27" s="757">
        <v>9</v>
      </c>
      <c r="R27" s="879">
        <v>9</v>
      </c>
      <c r="S27" s="1459"/>
      <c r="T27" s="351" t="s">
        <v>155</v>
      </c>
      <c r="U27" s="765"/>
      <c r="V27" s="351" t="s">
        <v>155</v>
      </c>
      <c r="W27" s="757">
        <v>9</v>
      </c>
      <c r="X27" s="757">
        <v>9</v>
      </c>
      <c r="Y27" s="757">
        <v>9</v>
      </c>
      <c r="Z27" s="757">
        <v>9</v>
      </c>
      <c r="AA27" s="757" t="s">
        <v>1665</v>
      </c>
      <c r="AB27" s="757">
        <v>9</v>
      </c>
      <c r="AC27" s="757" t="s">
        <v>1326</v>
      </c>
      <c r="AD27" s="757">
        <v>9</v>
      </c>
      <c r="AE27" s="757" t="s">
        <v>1471</v>
      </c>
      <c r="AF27" s="757" t="s">
        <v>1665</v>
      </c>
      <c r="AG27" s="757">
        <v>9</v>
      </c>
      <c r="AH27" s="757">
        <v>9</v>
      </c>
      <c r="AI27" s="765"/>
      <c r="AJ27" s="351" t="s">
        <v>155</v>
      </c>
      <c r="AK27" s="765"/>
      <c r="AL27" s="351" t="s">
        <v>155</v>
      </c>
      <c r="AM27" s="757">
        <v>9</v>
      </c>
      <c r="AN27" s="757">
        <v>9</v>
      </c>
      <c r="AO27" s="757" t="s">
        <v>1471</v>
      </c>
      <c r="AP27" s="757">
        <v>9</v>
      </c>
      <c r="AQ27" s="757">
        <v>9</v>
      </c>
      <c r="AR27" s="757">
        <v>9</v>
      </c>
      <c r="AS27" s="757" t="s">
        <v>2504</v>
      </c>
      <c r="AT27" s="757">
        <v>9</v>
      </c>
      <c r="AU27" s="757" t="s">
        <v>1471</v>
      </c>
      <c r="AV27" s="757">
        <v>9</v>
      </c>
      <c r="AW27" s="757" t="s">
        <v>52</v>
      </c>
      <c r="AX27" s="757" t="s">
        <v>1471</v>
      </c>
      <c r="AY27" s="757">
        <v>9</v>
      </c>
      <c r="AZ27" s="765"/>
      <c r="BA27" s="351" t="s">
        <v>155</v>
      </c>
      <c r="BB27" s="765"/>
      <c r="BC27" s="351" t="s">
        <v>155</v>
      </c>
      <c r="BD27" s="757">
        <v>9</v>
      </c>
      <c r="BE27" s="757" t="s">
        <v>1470</v>
      </c>
      <c r="BF27" s="757" t="s">
        <v>1326</v>
      </c>
      <c r="BG27" s="757">
        <v>9</v>
      </c>
      <c r="BH27" s="757">
        <v>8</v>
      </c>
      <c r="BI27" s="757" t="s">
        <v>52</v>
      </c>
      <c r="BJ27" s="757" t="s">
        <v>1471</v>
      </c>
      <c r="BK27" s="757">
        <v>9</v>
      </c>
      <c r="BL27" s="757" t="s">
        <v>1326</v>
      </c>
      <c r="BM27" s="765"/>
      <c r="BN27" s="351" t="s">
        <v>155</v>
      </c>
    </row>
    <row r="28" spans="1:66" ht="11.45" customHeight="1">
      <c r="B28" s="829" t="s">
        <v>156</v>
      </c>
      <c r="C28" s="756" t="s">
        <v>52</v>
      </c>
      <c r="D28" s="756" t="s">
        <v>52</v>
      </c>
      <c r="E28" s="756" t="s">
        <v>52</v>
      </c>
      <c r="F28" s="827" t="s">
        <v>52</v>
      </c>
      <c r="G28" s="756" t="s">
        <v>52</v>
      </c>
      <c r="H28" s="756" t="s">
        <v>52</v>
      </c>
      <c r="I28" s="756" t="s">
        <v>1665</v>
      </c>
      <c r="J28" s="756" t="s">
        <v>52</v>
      </c>
      <c r="K28" s="756" t="s">
        <v>52</v>
      </c>
      <c r="L28" s="827" t="s">
        <v>52</v>
      </c>
      <c r="M28" s="756">
        <v>9</v>
      </c>
      <c r="N28" s="756">
        <v>9</v>
      </c>
      <c r="O28" s="756" t="s">
        <v>52</v>
      </c>
      <c r="P28" s="756" t="s">
        <v>52</v>
      </c>
      <c r="Q28" s="756">
        <v>9</v>
      </c>
      <c r="R28" s="758" t="s">
        <v>52</v>
      </c>
      <c r="S28" s="1460"/>
      <c r="T28" s="829" t="s">
        <v>156</v>
      </c>
      <c r="V28" s="829" t="s">
        <v>156</v>
      </c>
      <c r="W28" s="756" t="s">
        <v>52</v>
      </c>
      <c r="X28" s="851" t="s">
        <v>52</v>
      </c>
      <c r="Y28" s="756" t="s">
        <v>52</v>
      </c>
      <c r="Z28" s="756" t="s">
        <v>52</v>
      </c>
      <c r="AA28" s="756" t="s">
        <v>52</v>
      </c>
      <c r="AB28" s="756">
        <v>9</v>
      </c>
      <c r="AC28" s="756" t="s">
        <v>52</v>
      </c>
      <c r="AD28" s="756" t="s">
        <v>52</v>
      </c>
      <c r="AE28" s="756" t="s">
        <v>1471</v>
      </c>
      <c r="AF28" s="756" t="s">
        <v>52</v>
      </c>
      <c r="AG28" s="756">
        <v>9</v>
      </c>
      <c r="AH28" s="830" t="s">
        <v>52</v>
      </c>
      <c r="AJ28" s="829" t="s">
        <v>156</v>
      </c>
      <c r="AL28" s="829" t="s">
        <v>156</v>
      </c>
      <c r="AM28" s="756">
        <v>9</v>
      </c>
      <c r="AN28" s="756" t="s">
        <v>52</v>
      </c>
      <c r="AO28" s="830" t="s">
        <v>52</v>
      </c>
      <c r="AP28" s="756" t="s">
        <v>52</v>
      </c>
      <c r="AQ28" s="830" t="s">
        <v>52</v>
      </c>
      <c r="AR28" s="756" t="s">
        <v>52</v>
      </c>
      <c r="AS28" s="756" t="s">
        <v>52</v>
      </c>
      <c r="AT28" s="756" t="s">
        <v>52</v>
      </c>
      <c r="AU28" s="756" t="s">
        <v>52</v>
      </c>
      <c r="AV28" s="756" t="s">
        <v>52</v>
      </c>
      <c r="AW28" s="756" t="s">
        <v>52</v>
      </c>
      <c r="AX28" s="756" t="s">
        <v>52</v>
      </c>
      <c r="AY28" s="756" t="s">
        <v>52</v>
      </c>
      <c r="BA28" s="829" t="s">
        <v>156</v>
      </c>
      <c r="BC28" s="829" t="s">
        <v>156</v>
      </c>
      <c r="BD28" s="756" t="s">
        <v>52</v>
      </c>
      <c r="BE28" s="756" t="s">
        <v>1470</v>
      </c>
      <c r="BF28" s="756" t="s">
        <v>52</v>
      </c>
      <c r="BG28" s="758" t="s">
        <v>52</v>
      </c>
      <c r="BH28" s="756" t="s">
        <v>52</v>
      </c>
      <c r="BI28" s="756" t="s">
        <v>52</v>
      </c>
      <c r="BJ28" s="756" t="s">
        <v>52</v>
      </c>
      <c r="BK28" s="830" t="s">
        <v>52</v>
      </c>
      <c r="BL28" s="756" t="s">
        <v>52</v>
      </c>
      <c r="BN28" s="829" t="s">
        <v>156</v>
      </c>
    </row>
    <row r="29" spans="1:66" ht="15" customHeight="1">
      <c r="A29" s="2262" t="s">
        <v>166</v>
      </c>
      <c r="B29" s="2262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757"/>
      <c r="Q29" s="759"/>
      <c r="R29" s="759"/>
      <c r="S29" s="2237" t="s">
        <v>166</v>
      </c>
      <c r="T29" s="2237"/>
      <c r="U29" s="2237" t="s">
        <v>166</v>
      </c>
      <c r="V29" s="2237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9"/>
      <c r="AI29" s="2237" t="s">
        <v>166</v>
      </c>
      <c r="AJ29" s="2237"/>
      <c r="AK29" s="2237" t="s">
        <v>166</v>
      </c>
      <c r="AL29" s="2237"/>
      <c r="AM29" s="759"/>
      <c r="AN29" s="757"/>
      <c r="AO29" s="832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2237" t="s">
        <v>166</v>
      </c>
      <c r="BA29" s="2237"/>
      <c r="BB29" s="2237" t="s">
        <v>166</v>
      </c>
      <c r="BC29" s="2237"/>
      <c r="BD29" s="757"/>
      <c r="BE29" s="757"/>
      <c r="BF29" s="757"/>
      <c r="BG29" s="759"/>
      <c r="BH29" s="757"/>
      <c r="BI29" s="757"/>
      <c r="BJ29" s="757"/>
      <c r="BK29" s="757"/>
      <c r="BL29" s="757"/>
      <c r="BM29" s="2237" t="s">
        <v>166</v>
      </c>
      <c r="BN29" s="2237"/>
    </row>
    <row r="30" spans="1:66" s="885" customFormat="1" ht="18.75" customHeight="1">
      <c r="A30" s="833" t="s">
        <v>331</v>
      </c>
      <c r="B30" s="834" t="s">
        <v>644</v>
      </c>
      <c r="C30" s="756"/>
      <c r="D30" s="756"/>
      <c r="E30" s="756"/>
      <c r="F30" s="756"/>
      <c r="G30" s="756"/>
      <c r="H30" s="756"/>
      <c r="I30" s="756"/>
      <c r="J30" s="756"/>
      <c r="K30" s="756"/>
      <c r="L30" s="827"/>
      <c r="M30" s="756"/>
      <c r="N30" s="756"/>
      <c r="O30" s="756"/>
      <c r="P30" s="851"/>
      <c r="Q30" s="758"/>
      <c r="R30" s="758"/>
      <c r="S30" s="833" t="s">
        <v>331</v>
      </c>
      <c r="T30" s="1462" t="s">
        <v>644</v>
      </c>
      <c r="U30" s="833" t="s">
        <v>331</v>
      </c>
      <c r="V30" s="835" t="s">
        <v>644</v>
      </c>
      <c r="W30" s="756"/>
      <c r="X30" s="851"/>
      <c r="Y30" s="756"/>
      <c r="Z30" s="756"/>
      <c r="AA30" s="756"/>
      <c r="AB30" s="756"/>
      <c r="AC30" s="756"/>
      <c r="AD30" s="756"/>
      <c r="AE30" s="756"/>
      <c r="AF30" s="756"/>
      <c r="AG30" s="756"/>
      <c r="AH30" s="758"/>
      <c r="AI30" s="833" t="s">
        <v>331</v>
      </c>
      <c r="AJ30" s="835" t="s">
        <v>644</v>
      </c>
      <c r="AK30" s="833" t="s">
        <v>331</v>
      </c>
      <c r="AL30" s="835" t="s">
        <v>644</v>
      </c>
      <c r="AM30" s="758"/>
      <c r="AN30" s="756"/>
      <c r="AO30" s="756"/>
      <c r="AP30" s="756"/>
      <c r="AQ30" s="756"/>
      <c r="AR30" s="756"/>
      <c r="AS30" s="756"/>
      <c r="AT30" s="756"/>
      <c r="AU30" s="756"/>
      <c r="AV30" s="756"/>
      <c r="AW30" s="756"/>
      <c r="AX30" s="756"/>
      <c r="AY30" s="756"/>
      <c r="AZ30" s="833" t="s">
        <v>331</v>
      </c>
      <c r="BA30" s="835" t="s">
        <v>644</v>
      </c>
      <c r="BB30" s="833" t="s">
        <v>331</v>
      </c>
      <c r="BC30" s="835" t="s">
        <v>644</v>
      </c>
      <c r="BD30" s="756"/>
      <c r="BE30" s="756"/>
      <c r="BF30" s="756"/>
      <c r="BG30" s="758"/>
      <c r="BH30" s="756"/>
      <c r="BI30" s="756"/>
      <c r="BJ30" s="756"/>
      <c r="BK30" s="756"/>
      <c r="BL30" s="756"/>
      <c r="BM30" s="833" t="s">
        <v>331</v>
      </c>
      <c r="BN30" s="835" t="s">
        <v>644</v>
      </c>
    </row>
    <row r="31" spans="1:66" ht="11.45" customHeight="1">
      <c r="A31" s="836"/>
      <c r="B31" s="351" t="s">
        <v>163</v>
      </c>
      <c r="C31" s="757" t="s">
        <v>1665</v>
      </c>
      <c r="D31" s="879" t="s">
        <v>1665</v>
      </c>
      <c r="E31" s="757" t="s">
        <v>1665</v>
      </c>
      <c r="F31" s="757" t="s">
        <v>1665</v>
      </c>
      <c r="G31" s="879" t="s">
        <v>1665</v>
      </c>
      <c r="H31" s="757" t="s">
        <v>1665</v>
      </c>
      <c r="I31" s="757" t="s">
        <v>52</v>
      </c>
      <c r="J31" s="879" t="s">
        <v>1665</v>
      </c>
      <c r="K31" s="879" t="s">
        <v>52</v>
      </c>
      <c r="L31" s="757">
        <v>9</v>
      </c>
      <c r="M31" s="757">
        <v>9</v>
      </c>
      <c r="N31" s="757">
        <v>9</v>
      </c>
      <c r="O31" s="879">
        <v>9</v>
      </c>
      <c r="P31" s="757" t="s">
        <v>1665</v>
      </c>
      <c r="Q31" s="757" t="s">
        <v>1665</v>
      </c>
      <c r="R31" s="757" t="s">
        <v>1665</v>
      </c>
      <c r="S31" s="1463"/>
      <c r="T31" s="351" t="s">
        <v>155</v>
      </c>
      <c r="U31" s="836"/>
      <c r="V31" s="351" t="s">
        <v>155</v>
      </c>
      <c r="W31" s="757">
        <v>9</v>
      </c>
      <c r="X31" s="757">
        <v>9</v>
      </c>
      <c r="Y31" s="757">
        <v>9</v>
      </c>
      <c r="Z31" s="757">
        <v>9</v>
      </c>
      <c r="AA31" s="757" t="s">
        <v>1665</v>
      </c>
      <c r="AB31" s="757">
        <v>9</v>
      </c>
      <c r="AC31" s="757" t="s">
        <v>1326</v>
      </c>
      <c r="AD31" s="757">
        <v>9</v>
      </c>
      <c r="AE31" s="757" t="s">
        <v>1471</v>
      </c>
      <c r="AF31" s="757" t="s">
        <v>1665</v>
      </c>
      <c r="AG31" s="757">
        <v>9</v>
      </c>
      <c r="AH31" s="757">
        <v>9</v>
      </c>
      <c r="AI31" s="836"/>
      <c r="AJ31" s="351" t="s">
        <v>155</v>
      </c>
      <c r="AK31" s="836"/>
      <c r="AL31" s="351" t="s">
        <v>155</v>
      </c>
      <c r="AM31" s="757">
        <v>9</v>
      </c>
      <c r="AN31" s="757">
        <v>9</v>
      </c>
      <c r="AO31" s="757" t="s">
        <v>1471</v>
      </c>
      <c r="AP31" s="757">
        <v>9</v>
      </c>
      <c r="AQ31" s="757">
        <v>9</v>
      </c>
      <c r="AR31" s="757">
        <v>9</v>
      </c>
      <c r="AS31" s="757" t="s">
        <v>1471</v>
      </c>
      <c r="AT31" s="757">
        <v>9</v>
      </c>
      <c r="AU31" s="757" t="s">
        <v>1471</v>
      </c>
      <c r="AV31" s="757">
        <v>9</v>
      </c>
      <c r="AW31" s="757" t="s">
        <v>52</v>
      </c>
      <c r="AX31" s="757" t="s">
        <v>1471</v>
      </c>
      <c r="AY31" s="757">
        <v>9</v>
      </c>
      <c r="AZ31" s="836"/>
      <c r="BA31" s="351" t="s">
        <v>155</v>
      </c>
      <c r="BB31" s="836"/>
      <c r="BC31" s="351" t="s">
        <v>155</v>
      </c>
      <c r="BD31" s="757" t="s">
        <v>1326</v>
      </c>
      <c r="BE31" s="757" t="s">
        <v>2127</v>
      </c>
      <c r="BF31" s="757" t="s">
        <v>1326</v>
      </c>
      <c r="BG31" s="757">
        <v>9</v>
      </c>
      <c r="BH31" s="757">
        <v>9</v>
      </c>
      <c r="BI31" s="757" t="s">
        <v>2099</v>
      </c>
      <c r="BJ31" s="757" t="s">
        <v>1470</v>
      </c>
      <c r="BK31" s="757">
        <v>9</v>
      </c>
      <c r="BL31" s="757" t="s">
        <v>2508</v>
      </c>
      <c r="BM31" s="836"/>
      <c r="BN31" s="351" t="s">
        <v>155</v>
      </c>
    </row>
    <row r="32" spans="1:66" ht="11.45" customHeight="1">
      <c r="A32" s="833"/>
      <c r="B32" s="829" t="s">
        <v>164</v>
      </c>
      <c r="C32" s="756" t="s">
        <v>52</v>
      </c>
      <c r="D32" s="830" t="s">
        <v>52</v>
      </c>
      <c r="E32" s="756" t="s">
        <v>52</v>
      </c>
      <c r="F32" s="756" t="s">
        <v>52</v>
      </c>
      <c r="G32" s="756" t="s">
        <v>52</v>
      </c>
      <c r="H32" s="756" t="s">
        <v>52</v>
      </c>
      <c r="I32" s="756" t="s">
        <v>1665</v>
      </c>
      <c r="J32" s="756" t="s">
        <v>52</v>
      </c>
      <c r="K32" s="756" t="s">
        <v>52</v>
      </c>
      <c r="L32" s="756" t="s">
        <v>52</v>
      </c>
      <c r="M32" s="756">
        <v>9</v>
      </c>
      <c r="N32" s="756">
        <v>9</v>
      </c>
      <c r="O32" s="781">
        <v>9</v>
      </c>
      <c r="P32" s="756" t="s">
        <v>52</v>
      </c>
      <c r="Q32" s="756">
        <v>9</v>
      </c>
      <c r="R32" s="758" t="s">
        <v>52</v>
      </c>
      <c r="S32" s="1461"/>
      <c r="T32" s="829" t="s">
        <v>156</v>
      </c>
      <c r="U32" s="833"/>
      <c r="V32" s="829" t="s">
        <v>156</v>
      </c>
      <c r="W32" s="756" t="s">
        <v>52</v>
      </c>
      <c r="X32" s="851" t="s">
        <v>52</v>
      </c>
      <c r="Y32" s="756" t="s">
        <v>52</v>
      </c>
      <c r="Z32" s="756" t="s">
        <v>52</v>
      </c>
      <c r="AA32" s="756" t="s">
        <v>52</v>
      </c>
      <c r="AB32" s="756">
        <v>9</v>
      </c>
      <c r="AC32" s="756" t="s">
        <v>1326</v>
      </c>
      <c r="AD32" s="756" t="s">
        <v>52</v>
      </c>
      <c r="AE32" s="756" t="s">
        <v>1471</v>
      </c>
      <c r="AF32" s="756" t="s">
        <v>52</v>
      </c>
      <c r="AG32" s="756" t="s">
        <v>52</v>
      </c>
      <c r="AH32" s="830" t="s">
        <v>52</v>
      </c>
      <c r="AI32" s="833"/>
      <c r="AJ32" s="829" t="s">
        <v>156</v>
      </c>
      <c r="AK32" s="833"/>
      <c r="AL32" s="829" t="s">
        <v>156</v>
      </c>
      <c r="AM32" s="756" t="s">
        <v>52</v>
      </c>
      <c r="AN32" s="758" t="s">
        <v>52</v>
      </c>
      <c r="AO32" s="830" t="s">
        <v>52</v>
      </c>
      <c r="AP32" s="756" t="s">
        <v>52</v>
      </c>
      <c r="AQ32" s="756" t="s">
        <v>52</v>
      </c>
      <c r="AR32" s="756" t="s">
        <v>52</v>
      </c>
      <c r="AS32" s="756" t="s">
        <v>52</v>
      </c>
      <c r="AT32" s="756" t="s">
        <v>52</v>
      </c>
      <c r="AU32" s="756" t="s">
        <v>52</v>
      </c>
      <c r="AV32" s="756" t="s">
        <v>52</v>
      </c>
      <c r="AW32" s="756" t="s">
        <v>52</v>
      </c>
      <c r="AX32" s="756" t="s">
        <v>52</v>
      </c>
      <c r="AY32" s="756" t="s">
        <v>52</v>
      </c>
      <c r="AZ32" s="833"/>
      <c r="BA32" s="829" t="s">
        <v>156</v>
      </c>
      <c r="BB32" s="833"/>
      <c r="BC32" s="829" t="s">
        <v>156</v>
      </c>
      <c r="BD32" s="756" t="s">
        <v>52</v>
      </c>
      <c r="BE32" s="756" t="s">
        <v>1326</v>
      </c>
      <c r="BF32" s="756" t="s">
        <v>52</v>
      </c>
      <c r="BG32" s="758" t="s">
        <v>52</v>
      </c>
      <c r="BH32" s="756" t="s">
        <v>52</v>
      </c>
      <c r="BI32" s="756" t="s">
        <v>2099</v>
      </c>
      <c r="BJ32" s="756" t="s">
        <v>52</v>
      </c>
      <c r="BK32" s="830" t="s">
        <v>52</v>
      </c>
      <c r="BL32" s="756" t="s">
        <v>52</v>
      </c>
      <c r="BM32" s="833"/>
      <c r="BN32" s="829" t="s">
        <v>156</v>
      </c>
    </row>
    <row r="33" spans="1:66" ht="21" customHeight="1">
      <c r="A33" s="836" t="s">
        <v>514</v>
      </c>
      <c r="B33" s="1442" t="s">
        <v>645</v>
      </c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9"/>
      <c r="R33" s="759"/>
      <c r="S33" s="836" t="s">
        <v>514</v>
      </c>
      <c r="T33" s="1456" t="s">
        <v>645</v>
      </c>
      <c r="U33" s="836" t="s">
        <v>514</v>
      </c>
      <c r="V33" s="1442" t="s">
        <v>645</v>
      </c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836" t="s">
        <v>514</v>
      </c>
      <c r="AJ33" s="1442" t="s">
        <v>645</v>
      </c>
      <c r="AK33" s="836" t="s">
        <v>514</v>
      </c>
      <c r="AL33" s="1442" t="s">
        <v>645</v>
      </c>
      <c r="AM33" s="757"/>
      <c r="AN33" s="759"/>
      <c r="AO33" s="757"/>
      <c r="AP33" s="757"/>
      <c r="AQ33" s="757"/>
      <c r="AR33" s="757"/>
      <c r="AS33" s="757"/>
      <c r="AT33" s="757"/>
      <c r="AU33" s="757"/>
      <c r="AV33" s="757"/>
      <c r="AW33" s="757"/>
      <c r="AX33" s="757"/>
      <c r="AY33" s="757"/>
      <c r="AZ33" s="836" t="s">
        <v>514</v>
      </c>
      <c r="BA33" s="1442" t="s">
        <v>645</v>
      </c>
      <c r="BB33" s="836" t="s">
        <v>514</v>
      </c>
      <c r="BC33" s="1442" t="s">
        <v>645</v>
      </c>
      <c r="BD33" s="757"/>
      <c r="BE33" s="757"/>
      <c r="BF33" s="757"/>
      <c r="BG33" s="759"/>
      <c r="BH33" s="757"/>
      <c r="BI33" s="757"/>
      <c r="BJ33" s="757"/>
      <c r="BK33" s="757"/>
      <c r="BL33" s="757"/>
      <c r="BM33" s="836" t="s">
        <v>514</v>
      </c>
      <c r="BN33" s="1442" t="s">
        <v>645</v>
      </c>
    </row>
    <row r="34" spans="1:66" ht="11.45" customHeight="1">
      <c r="B34" s="829" t="s">
        <v>163</v>
      </c>
      <c r="C34" s="851" t="s">
        <v>1665</v>
      </c>
      <c r="D34" s="781" t="s">
        <v>1665</v>
      </c>
      <c r="E34" s="756" t="s">
        <v>1665</v>
      </c>
      <c r="F34" s="756">
        <v>9</v>
      </c>
      <c r="G34" s="781">
        <v>9</v>
      </c>
      <c r="H34" s="756" t="s">
        <v>1665</v>
      </c>
      <c r="I34" s="756" t="s">
        <v>52</v>
      </c>
      <c r="J34" s="781" t="s">
        <v>1665</v>
      </c>
      <c r="K34" s="781" t="s">
        <v>52</v>
      </c>
      <c r="L34" s="756">
        <v>9</v>
      </c>
      <c r="M34" s="756">
        <v>9</v>
      </c>
      <c r="N34" s="756">
        <v>9</v>
      </c>
      <c r="O34" s="781">
        <v>9</v>
      </c>
      <c r="P34" s="756">
        <v>9</v>
      </c>
      <c r="Q34" s="756" t="s">
        <v>1665</v>
      </c>
      <c r="R34" s="756" t="s">
        <v>1665</v>
      </c>
      <c r="S34" s="1460"/>
      <c r="T34" s="829" t="s">
        <v>155</v>
      </c>
      <c r="V34" s="829" t="s">
        <v>155</v>
      </c>
      <c r="W34" s="756">
        <v>9</v>
      </c>
      <c r="X34" s="851">
        <v>9</v>
      </c>
      <c r="Y34" s="756">
        <v>9</v>
      </c>
      <c r="Z34" s="756">
        <v>9</v>
      </c>
      <c r="AA34" s="851" t="s">
        <v>1665</v>
      </c>
      <c r="AB34" s="756">
        <v>9</v>
      </c>
      <c r="AC34" s="756" t="s">
        <v>1326</v>
      </c>
      <c r="AD34" s="756">
        <v>9</v>
      </c>
      <c r="AE34" s="756" t="s">
        <v>1471</v>
      </c>
      <c r="AF34" s="756" t="s">
        <v>1665</v>
      </c>
      <c r="AG34" s="756">
        <v>9</v>
      </c>
      <c r="AH34" s="756">
        <v>9</v>
      </c>
      <c r="AJ34" s="829" t="s">
        <v>155</v>
      </c>
      <c r="AL34" s="829" t="s">
        <v>155</v>
      </c>
      <c r="AM34" s="756">
        <v>9</v>
      </c>
      <c r="AN34" s="756">
        <v>9</v>
      </c>
      <c r="AO34" s="756" t="s">
        <v>1471</v>
      </c>
      <c r="AP34" s="756">
        <v>9</v>
      </c>
      <c r="AQ34" s="756">
        <v>9</v>
      </c>
      <c r="AR34" s="756">
        <v>9</v>
      </c>
      <c r="AS34" s="756" t="s">
        <v>2505</v>
      </c>
      <c r="AT34" s="756">
        <v>9</v>
      </c>
      <c r="AU34" s="756" t="s">
        <v>1471</v>
      </c>
      <c r="AV34" s="756">
        <v>9</v>
      </c>
      <c r="AW34" s="756" t="s">
        <v>1470</v>
      </c>
      <c r="AX34" s="756" t="s">
        <v>1471</v>
      </c>
      <c r="AY34" s="756">
        <v>9</v>
      </c>
      <c r="BA34" s="829" t="s">
        <v>155</v>
      </c>
      <c r="BC34" s="829" t="s">
        <v>155</v>
      </c>
      <c r="BD34" s="756" t="s">
        <v>1471</v>
      </c>
      <c r="BE34" s="756" t="s">
        <v>2629</v>
      </c>
      <c r="BF34" s="756" t="s">
        <v>1326</v>
      </c>
      <c r="BG34" s="756">
        <v>9</v>
      </c>
      <c r="BH34" s="756">
        <v>9</v>
      </c>
      <c r="BI34" s="756" t="s">
        <v>52</v>
      </c>
      <c r="BJ34" s="756" t="s">
        <v>1471</v>
      </c>
      <c r="BK34" s="756">
        <v>9</v>
      </c>
      <c r="BL34" s="756" t="s">
        <v>2503</v>
      </c>
      <c r="BN34" s="829" t="s">
        <v>155</v>
      </c>
    </row>
    <row r="35" spans="1:66" ht="11.45" customHeight="1">
      <c r="A35" s="765"/>
      <c r="B35" s="351" t="s">
        <v>164</v>
      </c>
      <c r="C35" s="757" t="s">
        <v>52</v>
      </c>
      <c r="D35" s="831" t="s">
        <v>52</v>
      </c>
      <c r="E35" s="757" t="s">
        <v>52</v>
      </c>
      <c r="F35" s="757" t="s">
        <v>52</v>
      </c>
      <c r="G35" s="757" t="s">
        <v>52</v>
      </c>
      <c r="H35" s="757" t="s">
        <v>52</v>
      </c>
      <c r="I35" s="757" t="s">
        <v>1665</v>
      </c>
      <c r="J35" s="757" t="s">
        <v>52</v>
      </c>
      <c r="K35" s="757" t="s">
        <v>52</v>
      </c>
      <c r="L35" s="757" t="s">
        <v>52</v>
      </c>
      <c r="M35" s="757">
        <v>9</v>
      </c>
      <c r="N35" s="757">
        <v>9</v>
      </c>
      <c r="O35" s="757" t="s">
        <v>52</v>
      </c>
      <c r="P35" s="757" t="s">
        <v>52</v>
      </c>
      <c r="Q35" s="757">
        <v>9</v>
      </c>
      <c r="R35" s="757" t="s">
        <v>52</v>
      </c>
      <c r="S35" s="1459"/>
      <c r="T35" s="351" t="s">
        <v>156</v>
      </c>
      <c r="U35" s="765"/>
      <c r="V35" s="351" t="s">
        <v>156</v>
      </c>
      <c r="W35" s="757" t="s">
        <v>52</v>
      </c>
      <c r="X35" s="757" t="s">
        <v>52</v>
      </c>
      <c r="Y35" s="757" t="s">
        <v>52</v>
      </c>
      <c r="Z35" s="757" t="s">
        <v>52</v>
      </c>
      <c r="AA35" s="757" t="s">
        <v>52</v>
      </c>
      <c r="AB35" s="757" t="s">
        <v>52</v>
      </c>
      <c r="AC35" s="757" t="s">
        <v>52</v>
      </c>
      <c r="AD35" s="757" t="s">
        <v>52</v>
      </c>
      <c r="AE35" s="757" t="s">
        <v>1471</v>
      </c>
      <c r="AF35" s="757" t="s">
        <v>52</v>
      </c>
      <c r="AG35" s="757">
        <v>9</v>
      </c>
      <c r="AH35" s="831" t="s">
        <v>52</v>
      </c>
      <c r="AI35" s="765"/>
      <c r="AJ35" s="351" t="s">
        <v>156</v>
      </c>
      <c r="AK35" s="765"/>
      <c r="AL35" s="351" t="s">
        <v>156</v>
      </c>
      <c r="AM35" s="757" t="s">
        <v>52</v>
      </c>
      <c r="AN35" s="757" t="s">
        <v>52</v>
      </c>
      <c r="AO35" s="831" t="s">
        <v>52</v>
      </c>
      <c r="AP35" s="757" t="s">
        <v>52</v>
      </c>
      <c r="AQ35" s="757" t="s">
        <v>52</v>
      </c>
      <c r="AR35" s="757" t="s">
        <v>52</v>
      </c>
      <c r="AS35" s="757" t="s">
        <v>52</v>
      </c>
      <c r="AT35" s="757" t="s">
        <v>52</v>
      </c>
      <c r="AU35" s="757" t="s">
        <v>52</v>
      </c>
      <c r="AV35" s="757" t="s">
        <v>52</v>
      </c>
      <c r="AW35" s="757" t="s">
        <v>52</v>
      </c>
      <c r="AX35" s="757" t="s">
        <v>52</v>
      </c>
      <c r="AY35" s="757" t="s">
        <v>52</v>
      </c>
      <c r="AZ35" s="765"/>
      <c r="BA35" s="351" t="s">
        <v>156</v>
      </c>
      <c r="BB35" s="765"/>
      <c r="BC35" s="351" t="s">
        <v>156</v>
      </c>
      <c r="BD35" s="757" t="s">
        <v>52</v>
      </c>
      <c r="BE35" s="757" t="s">
        <v>2629</v>
      </c>
      <c r="BF35" s="757" t="s">
        <v>52</v>
      </c>
      <c r="BG35" s="757" t="s">
        <v>52</v>
      </c>
      <c r="BH35" s="757" t="s">
        <v>52</v>
      </c>
      <c r="BI35" s="757" t="s">
        <v>52</v>
      </c>
      <c r="BJ35" s="757" t="s">
        <v>52</v>
      </c>
      <c r="BK35" s="831" t="s">
        <v>52</v>
      </c>
      <c r="BL35" s="757" t="s">
        <v>52</v>
      </c>
      <c r="BM35" s="765"/>
      <c r="BN35" s="351" t="s">
        <v>156</v>
      </c>
    </row>
    <row r="36" spans="1:66" ht="11.45" customHeight="1">
      <c r="A36" s="2234" t="s">
        <v>88</v>
      </c>
      <c r="B36" s="2234"/>
      <c r="C36" s="756" t="s">
        <v>1664</v>
      </c>
      <c r="D36" s="756" t="s">
        <v>1664</v>
      </c>
      <c r="E36" s="756" t="s">
        <v>1664</v>
      </c>
      <c r="F36" s="756" t="s">
        <v>1664</v>
      </c>
      <c r="G36" s="756" t="s">
        <v>1664</v>
      </c>
      <c r="H36" s="756" t="s">
        <v>1664</v>
      </c>
      <c r="I36" s="756">
        <v>7</v>
      </c>
      <c r="J36" s="756" t="s">
        <v>1664</v>
      </c>
      <c r="K36" s="756" t="s">
        <v>52</v>
      </c>
      <c r="L36" s="756">
        <v>5.5</v>
      </c>
      <c r="M36" s="756" t="s">
        <v>1664</v>
      </c>
      <c r="N36" s="756" t="s">
        <v>1664</v>
      </c>
      <c r="O36" s="756" t="s">
        <v>1664</v>
      </c>
      <c r="P36" s="756" t="s">
        <v>1664</v>
      </c>
      <c r="Q36" s="756">
        <v>7</v>
      </c>
      <c r="R36" s="756" t="s">
        <v>1664</v>
      </c>
      <c r="S36" s="2234" t="s">
        <v>88</v>
      </c>
      <c r="T36" s="2234"/>
      <c r="U36" s="2234" t="s">
        <v>88</v>
      </c>
      <c r="V36" s="2234"/>
      <c r="W36" s="756" t="s">
        <v>1664</v>
      </c>
      <c r="X36" s="851" t="s">
        <v>1664</v>
      </c>
      <c r="Y36" s="756" t="s">
        <v>1664</v>
      </c>
      <c r="Z36" s="756">
        <v>7</v>
      </c>
      <c r="AA36" s="756" t="s">
        <v>1664</v>
      </c>
      <c r="AB36" s="756" t="s">
        <v>1664</v>
      </c>
      <c r="AC36" s="756" t="s">
        <v>1664</v>
      </c>
      <c r="AD36" s="756" t="s">
        <v>1664</v>
      </c>
      <c r="AE36" s="756" t="s">
        <v>1664</v>
      </c>
      <c r="AF36" s="756" t="s">
        <v>1664</v>
      </c>
      <c r="AG36" s="756" t="s">
        <v>1664</v>
      </c>
      <c r="AH36" s="756">
        <v>7</v>
      </c>
      <c r="AI36" s="2234" t="s">
        <v>88</v>
      </c>
      <c r="AJ36" s="2234"/>
      <c r="AK36" s="2234" t="s">
        <v>88</v>
      </c>
      <c r="AL36" s="2234"/>
      <c r="AM36" s="756" t="s">
        <v>1664</v>
      </c>
      <c r="AN36" s="756">
        <v>7</v>
      </c>
      <c r="AO36" s="756" t="s">
        <v>1664</v>
      </c>
      <c r="AP36" s="756" t="s">
        <v>1664</v>
      </c>
      <c r="AQ36" s="756" t="s">
        <v>1664</v>
      </c>
      <c r="AR36" s="756" t="s">
        <v>1664</v>
      </c>
      <c r="AS36" s="756" t="s">
        <v>1664</v>
      </c>
      <c r="AT36" s="756">
        <v>7</v>
      </c>
      <c r="AU36" s="756" t="s">
        <v>1664</v>
      </c>
      <c r="AV36" s="756">
        <v>7</v>
      </c>
      <c r="AW36" s="756" t="s">
        <v>52</v>
      </c>
      <c r="AX36" s="756">
        <v>7</v>
      </c>
      <c r="AY36" s="756">
        <v>7</v>
      </c>
      <c r="AZ36" s="2234" t="s">
        <v>88</v>
      </c>
      <c r="BA36" s="2234"/>
      <c r="BB36" s="2234" t="s">
        <v>88</v>
      </c>
      <c r="BC36" s="2234"/>
      <c r="BD36" s="756" t="s">
        <v>1664</v>
      </c>
      <c r="BE36" s="756" t="s">
        <v>1664</v>
      </c>
      <c r="BF36" s="756" t="s">
        <v>2231</v>
      </c>
      <c r="BG36" s="756" t="s">
        <v>1664</v>
      </c>
      <c r="BH36" s="756">
        <v>7</v>
      </c>
      <c r="BI36" s="756" t="s">
        <v>52</v>
      </c>
      <c r="BJ36" s="756" t="s">
        <v>1664</v>
      </c>
      <c r="BK36" s="756" t="s">
        <v>52</v>
      </c>
      <c r="BL36" s="756" t="s">
        <v>1144</v>
      </c>
      <c r="BM36" s="2234" t="s">
        <v>88</v>
      </c>
      <c r="BN36" s="2234"/>
    </row>
    <row r="37" spans="1:66" ht="11.45" customHeight="1">
      <c r="A37" s="2237" t="s">
        <v>167</v>
      </c>
      <c r="B37" s="2237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9"/>
      <c r="R37" s="759"/>
      <c r="S37" s="2237" t="s">
        <v>167</v>
      </c>
      <c r="T37" s="2237"/>
      <c r="U37" s="2237" t="s">
        <v>167</v>
      </c>
      <c r="V37" s="2237"/>
      <c r="W37" s="757"/>
      <c r="X37" s="757"/>
      <c r="Y37" s="757"/>
      <c r="Z37" s="757"/>
      <c r="AA37" s="757"/>
      <c r="AB37" s="759"/>
      <c r="AC37" s="759"/>
      <c r="AD37" s="759"/>
      <c r="AE37" s="759"/>
      <c r="AF37" s="759"/>
      <c r="AG37" s="757"/>
      <c r="AH37" s="759"/>
      <c r="AI37" s="2237" t="s">
        <v>167</v>
      </c>
      <c r="AJ37" s="2237"/>
      <c r="AK37" s="2237" t="s">
        <v>167</v>
      </c>
      <c r="AL37" s="2237"/>
      <c r="AM37" s="759"/>
      <c r="AN37" s="759"/>
      <c r="AO37" s="759"/>
      <c r="AP37" s="757"/>
      <c r="AQ37" s="757"/>
      <c r="AR37" s="757"/>
      <c r="AS37" s="757"/>
      <c r="AT37" s="757"/>
      <c r="AU37" s="757"/>
      <c r="AV37" s="757"/>
      <c r="AW37" s="757"/>
      <c r="AX37" s="757"/>
      <c r="AY37" s="757"/>
      <c r="AZ37" s="2237" t="s">
        <v>167</v>
      </c>
      <c r="BA37" s="2237"/>
      <c r="BB37" s="2237" t="s">
        <v>167</v>
      </c>
      <c r="BC37" s="2237"/>
      <c r="BD37" s="757"/>
      <c r="BE37" s="757"/>
      <c r="BF37" s="757"/>
      <c r="BG37" s="759"/>
      <c r="BH37" s="757"/>
      <c r="BI37" s="757"/>
      <c r="BJ37" s="757"/>
      <c r="BK37" s="757"/>
      <c r="BL37" s="757"/>
      <c r="BM37" s="2237" t="s">
        <v>167</v>
      </c>
      <c r="BN37" s="2237"/>
    </row>
    <row r="38" spans="1:66" ht="11.45" customHeight="1">
      <c r="B38" s="829" t="s">
        <v>155</v>
      </c>
      <c r="C38" s="781" t="s">
        <v>1665</v>
      </c>
      <c r="D38" s="756" t="s">
        <v>1665</v>
      </c>
      <c r="E38" s="756" t="s">
        <v>1470</v>
      </c>
      <c r="F38" s="756">
        <v>9</v>
      </c>
      <c r="G38" s="781">
        <v>9</v>
      </c>
      <c r="H38" s="781" t="s">
        <v>1665</v>
      </c>
      <c r="I38" s="756" t="s">
        <v>1665</v>
      </c>
      <c r="J38" s="756" t="s">
        <v>1665</v>
      </c>
      <c r="K38" s="756" t="s">
        <v>52</v>
      </c>
      <c r="L38" s="756">
        <v>9</v>
      </c>
      <c r="M38" s="756">
        <v>9</v>
      </c>
      <c r="N38" s="756">
        <v>9</v>
      </c>
      <c r="O38" s="781">
        <v>9</v>
      </c>
      <c r="P38" s="756">
        <v>9</v>
      </c>
      <c r="Q38" s="756">
        <v>9</v>
      </c>
      <c r="R38" s="756">
        <v>9</v>
      </c>
      <c r="S38" s="1460"/>
      <c r="T38" s="829" t="s">
        <v>155</v>
      </c>
      <c r="V38" s="829" t="s">
        <v>155</v>
      </c>
      <c r="W38" s="756">
        <v>9</v>
      </c>
      <c r="X38" s="851">
        <v>9</v>
      </c>
      <c r="Y38" s="756">
        <v>9</v>
      </c>
      <c r="Z38" s="756" t="s">
        <v>52</v>
      </c>
      <c r="AA38" s="756" t="s">
        <v>1665</v>
      </c>
      <c r="AB38" s="756">
        <v>9</v>
      </c>
      <c r="AC38" s="756" t="s">
        <v>1326</v>
      </c>
      <c r="AD38" s="756">
        <v>9</v>
      </c>
      <c r="AE38" s="756" t="s">
        <v>1471</v>
      </c>
      <c r="AF38" s="851">
        <v>9</v>
      </c>
      <c r="AG38" s="756">
        <v>9</v>
      </c>
      <c r="AH38" s="756">
        <v>9</v>
      </c>
      <c r="AJ38" s="829" t="s">
        <v>155</v>
      </c>
      <c r="AL38" s="829" t="s">
        <v>155</v>
      </c>
      <c r="AM38" s="756">
        <v>9</v>
      </c>
      <c r="AN38" s="756">
        <v>9</v>
      </c>
      <c r="AO38" s="756" t="s">
        <v>1471</v>
      </c>
      <c r="AP38" s="756">
        <v>9</v>
      </c>
      <c r="AQ38" s="756">
        <v>9</v>
      </c>
      <c r="AR38" s="756">
        <v>9</v>
      </c>
      <c r="AS38" s="756" t="s">
        <v>2504</v>
      </c>
      <c r="AT38" s="756">
        <v>9</v>
      </c>
      <c r="AU38" s="756" t="s">
        <v>1471</v>
      </c>
      <c r="AV38" s="756">
        <v>9</v>
      </c>
      <c r="AW38" s="756" t="s">
        <v>52</v>
      </c>
      <c r="AX38" s="756" t="s">
        <v>1471</v>
      </c>
      <c r="AY38" s="756">
        <v>9</v>
      </c>
      <c r="BA38" s="829" t="s">
        <v>155</v>
      </c>
      <c r="BC38" s="829" t="s">
        <v>155</v>
      </c>
      <c r="BD38" s="756" t="s">
        <v>1471</v>
      </c>
      <c r="BE38" s="756" t="s">
        <v>2127</v>
      </c>
      <c r="BF38" s="756" t="s">
        <v>1326</v>
      </c>
      <c r="BG38" s="756">
        <v>9</v>
      </c>
      <c r="BH38" s="756">
        <v>9</v>
      </c>
      <c r="BI38" s="756" t="s">
        <v>2507</v>
      </c>
      <c r="BJ38" s="756" t="s">
        <v>1470</v>
      </c>
      <c r="BK38" s="756" t="s">
        <v>52</v>
      </c>
      <c r="BL38" s="756" t="s">
        <v>1326</v>
      </c>
      <c r="BN38" s="829" t="s">
        <v>155</v>
      </c>
    </row>
    <row r="39" spans="1:66" ht="11.45" customHeight="1">
      <c r="A39" s="765"/>
      <c r="B39" s="351" t="s">
        <v>156</v>
      </c>
      <c r="C39" s="757" t="s">
        <v>52</v>
      </c>
      <c r="D39" s="757" t="s">
        <v>52</v>
      </c>
      <c r="E39" s="757" t="s">
        <v>52</v>
      </c>
      <c r="F39" s="757" t="s">
        <v>52</v>
      </c>
      <c r="G39" s="757" t="s">
        <v>52</v>
      </c>
      <c r="H39" s="757" t="s">
        <v>52</v>
      </c>
      <c r="I39" s="757" t="s">
        <v>52</v>
      </c>
      <c r="J39" s="757" t="s">
        <v>52</v>
      </c>
      <c r="K39" s="757" t="s">
        <v>52</v>
      </c>
      <c r="L39" s="757">
        <v>9</v>
      </c>
      <c r="M39" s="757">
        <v>9</v>
      </c>
      <c r="N39" s="757">
        <v>9</v>
      </c>
      <c r="O39" s="879">
        <v>9</v>
      </c>
      <c r="P39" s="757" t="s">
        <v>52</v>
      </c>
      <c r="Q39" s="757">
        <v>9</v>
      </c>
      <c r="R39" s="759" t="s">
        <v>52</v>
      </c>
      <c r="S39" s="1459"/>
      <c r="T39" s="351" t="s">
        <v>156</v>
      </c>
      <c r="U39" s="765"/>
      <c r="V39" s="351" t="s">
        <v>156</v>
      </c>
      <c r="W39" s="757" t="s">
        <v>52</v>
      </c>
      <c r="X39" s="757" t="s">
        <v>52</v>
      </c>
      <c r="Y39" s="757" t="s">
        <v>52</v>
      </c>
      <c r="Z39" s="757">
        <v>9</v>
      </c>
      <c r="AA39" s="757" t="s">
        <v>52</v>
      </c>
      <c r="AB39" s="757">
        <v>9</v>
      </c>
      <c r="AC39" s="757" t="s">
        <v>52</v>
      </c>
      <c r="AD39" s="759" t="s">
        <v>52</v>
      </c>
      <c r="AE39" s="1215" t="s">
        <v>52</v>
      </c>
      <c r="AF39" s="759" t="s">
        <v>52</v>
      </c>
      <c r="AG39" s="757">
        <v>9</v>
      </c>
      <c r="AH39" s="831" t="s">
        <v>52</v>
      </c>
      <c r="AI39" s="765"/>
      <c r="AJ39" s="351" t="s">
        <v>156</v>
      </c>
      <c r="AK39" s="765"/>
      <c r="AL39" s="351" t="s">
        <v>156</v>
      </c>
      <c r="AM39" s="757" t="s">
        <v>52</v>
      </c>
      <c r="AN39" s="759" t="s">
        <v>52</v>
      </c>
      <c r="AO39" s="831" t="s">
        <v>52</v>
      </c>
      <c r="AP39" s="757" t="s">
        <v>52</v>
      </c>
      <c r="AQ39" s="757" t="s">
        <v>52</v>
      </c>
      <c r="AR39" s="757">
        <v>9</v>
      </c>
      <c r="AS39" s="757" t="s">
        <v>52</v>
      </c>
      <c r="AT39" s="757" t="s">
        <v>52</v>
      </c>
      <c r="AU39" s="757" t="s">
        <v>52</v>
      </c>
      <c r="AV39" s="757" t="s">
        <v>52</v>
      </c>
      <c r="AW39" s="757" t="s">
        <v>52</v>
      </c>
      <c r="AX39" s="757" t="s">
        <v>1471</v>
      </c>
      <c r="AY39" s="757" t="s">
        <v>52</v>
      </c>
      <c r="AZ39" s="765"/>
      <c r="BA39" s="351" t="s">
        <v>156</v>
      </c>
      <c r="BB39" s="765"/>
      <c r="BC39" s="351" t="s">
        <v>156</v>
      </c>
      <c r="BD39" s="757" t="s">
        <v>52</v>
      </c>
      <c r="BE39" s="757" t="s">
        <v>1326</v>
      </c>
      <c r="BF39" s="757" t="s">
        <v>52</v>
      </c>
      <c r="BG39" s="759" t="s">
        <v>52</v>
      </c>
      <c r="BH39" s="757" t="s">
        <v>52</v>
      </c>
      <c r="BI39" s="757" t="s">
        <v>2507</v>
      </c>
      <c r="BJ39" s="757" t="s">
        <v>52</v>
      </c>
      <c r="BK39" s="757" t="s">
        <v>52</v>
      </c>
      <c r="BL39" s="757" t="s">
        <v>52</v>
      </c>
      <c r="BM39" s="765"/>
      <c r="BN39" s="351" t="s">
        <v>156</v>
      </c>
    </row>
    <row r="40" spans="1:66" ht="11.45" customHeight="1">
      <c r="A40" s="2234" t="s">
        <v>168</v>
      </c>
      <c r="B40" s="2234"/>
      <c r="C40" s="756"/>
      <c r="D40" s="756"/>
      <c r="E40" s="756"/>
      <c r="F40" s="756"/>
      <c r="G40" s="756"/>
      <c r="H40" s="827"/>
      <c r="I40" s="756"/>
      <c r="J40" s="756"/>
      <c r="K40" s="756"/>
      <c r="L40" s="756"/>
      <c r="M40" s="756"/>
      <c r="N40" s="756"/>
      <c r="O40" s="756"/>
      <c r="P40" s="756"/>
      <c r="Q40" s="758"/>
      <c r="R40" s="758"/>
      <c r="S40" s="2234" t="s">
        <v>168</v>
      </c>
      <c r="T40" s="2234"/>
      <c r="U40" s="2234" t="s">
        <v>168</v>
      </c>
      <c r="V40" s="2234"/>
      <c r="W40" s="756"/>
      <c r="X40" s="851"/>
      <c r="Y40" s="756"/>
      <c r="Z40" s="756"/>
      <c r="AA40" s="756"/>
      <c r="AB40" s="758"/>
      <c r="AC40" s="758"/>
      <c r="AD40" s="758"/>
      <c r="AE40" s="758"/>
      <c r="AF40" s="758"/>
      <c r="AG40" s="758"/>
      <c r="AH40" s="756"/>
      <c r="AI40" s="2234" t="s">
        <v>168</v>
      </c>
      <c r="AJ40" s="2234"/>
      <c r="AK40" s="2234" t="s">
        <v>168</v>
      </c>
      <c r="AL40" s="2234"/>
      <c r="AM40" s="756"/>
      <c r="AN40" s="758"/>
      <c r="AO40" s="756"/>
      <c r="AP40" s="756"/>
      <c r="AQ40" s="756"/>
      <c r="AR40" s="756"/>
      <c r="AS40" s="756"/>
      <c r="AT40" s="756"/>
      <c r="AU40" s="756"/>
      <c r="AV40" s="756"/>
      <c r="AW40" s="756"/>
      <c r="AX40" s="756"/>
      <c r="AY40" s="756"/>
      <c r="AZ40" s="2234" t="s">
        <v>168</v>
      </c>
      <c r="BA40" s="2234"/>
      <c r="BB40" s="2234" t="s">
        <v>168</v>
      </c>
      <c r="BC40" s="2234"/>
      <c r="BD40" s="756"/>
      <c r="BE40" s="756"/>
      <c r="BF40" s="756"/>
      <c r="BG40" s="758" t="s">
        <v>675</v>
      </c>
      <c r="BH40" s="756"/>
      <c r="BI40" s="756"/>
      <c r="BJ40" s="756"/>
      <c r="BK40" s="756"/>
      <c r="BL40" s="756"/>
      <c r="BM40" s="2234" t="s">
        <v>168</v>
      </c>
      <c r="BN40" s="2234"/>
    </row>
    <row r="41" spans="1:66" ht="11.45" customHeight="1">
      <c r="A41" s="765"/>
      <c r="B41" s="351" t="s">
        <v>155</v>
      </c>
      <c r="C41" s="879" t="s">
        <v>1665</v>
      </c>
      <c r="D41" s="879" t="s">
        <v>1665</v>
      </c>
      <c r="E41" s="757" t="s">
        <v>1665</v>
      </c>
      <c r="F41" s="757" t="s">
        <v>1468</v>
      </c>
      <c r="G41" s="757">
        <v>9</v>
      </c>
      <c r="H41" s="757" t="s">
        <v>1665</v>
      </c>
      <c r="I41" s="757" t="s">
        <v>52</v>
      </c>
      <c r="J41" s="757" t="s">
        <v>52</v>
      </c>
      <c r="K41" s="757" t="s">
        <v>52</v>
      </c>
      <c r="L41" s="757">
        <v>9</v>
      </c>
      <c r="M41" s="757" t="s">
        <v>2503</v>
      </c>
      <c r="N41" s="757">
        <v>9</v>
      </c>
      <c r="O41" s="757">
        <v>9</v>
      </c>
      <c r="P41" s="757">
        <v>9</v>
      </c>
      <c r="Q41" s="879">
        <v>9</v>
      </c>
      <c r="R41" s="757">
        <v>9</v>
      </c>
      <c r="S41" s="1459"/>
      <c r="T41" s="351" t="s">
        <v>155</v>
      </c>
      <c r="U41" s="765"/>
      <c r="V41" s="351" t="s">
        <v>155</v>
      </c>
      <c r="W41" s="757" t="s">
        <v>2504</v>
      </c>
      <c r="X41" s="757">
        <v>9</v>
      </c>
      <c r="Y41" s="757">
        <v>9</v>
      </c>
      <c r="Z41" s="757">
        <v>9</v>
      </c>
      <c r="AA41" s="757" t="s">
        <v>1665</v>
      </c>
      <c r="AB41" s="757">
        <v>9</v>
      </c>
      <c r="AC41" s="757" t="s">
        <v>1326</v>
      </c>
      <c r="AD41" s="757">
        <v>9</v>
      </c>
      <c r="AE41" s="757" t="s">
        <v>1471</v>
      </c>
      <c r="AF41" s="757" t="s">
        <v>2566</v>
      </c>
      <c r="AG41" s="757">
        <v>9</v>
      </c>
      <c r="AH41" s="757">
        <v>9</v>
      </c>
      <c r="AI41" s="765"/>
      <c r="AJ41" s="351" t="s">
        <v>155</v>
      </c>
      <c r="AK41" s="765"/>
      <c r="AL41" s="351" t="s">
        <v>155</v>
      </c>
      <c r="AM41" s="757">
        <v>9</v>
      </c>
      <c r="AN41" s="757">
        <v>9</v>
      </c>
      <c r="AO41" s="757" t="s">
        <v>2503</v>
      </c>
      <c r="AP41" s="757">
        <v>9</v>
      </c>
      <c r="AQ41" s="757">
        <v>9</v>
      </c>
      <c r="AR41" s="757">
        <v>9</v>
      </c>
      <c r="AS41" s="757" t="s">
        <v>2506</v>
      </c>
      <c r="AT41" s="757" t="s">
        <v>2504</v>
      </c>
      <c r="AU41" s="757" t="s">
        <v>1471</v>
      </c>
      <c r="AV41" s="757">
        <v>9</v>
      </c>
      <c r="AW41" s="757" t="s">
        <v>2504</v>
      </c>
      <c r="AX41" s="757">
        <v>9</v>
      </c>
      <c r="AY41" s="757">
        <v>9</v>
      </c>
      <c r="AZ41" s="765"/>
      <c r="BA41" s="351" t="s">
        <v>155</v>
      </c>
      <c r="BB41" s="765"/>
      <c r="BC41" s="351" t="s">
        <v>155</v>
      </c>
      <c r="BD41" s="757" t="s">
        <v>1471</v>
      </c>
      <c r="BE41" s="757" t="s">
        <v>2557</v>
      </c>
      <c r="BF41" s="757" t="s">
        <v>1326</v>
      </c>
      <c r="BG41" s="826" t="s">
        <v>52</v>
      </c>
      <c r="BH41" s="757">
        <v>9</v>
      </c>
      <c r="BI41" s="757" t="s">
        <v>52</v>
      </c>
      <c r="BJ41" s="757" t="s">
        <v>2584</v>
      </c>
      <c r="BK41" s="757">
        <v>9</v>
      </c>
      <c r="BL41" s="757" t="s">
        <v>52</v>
      </c>
      <c r="BM41" s="765"/>
      <c r="BN41" s="351" t="s">
        <v>155</v>
      </c>
    </row>
    <row r="42" spans="1:66" ht="11.45" customHeight="1">
      <c r="B42" s="829" t="s">
        <v>156</v>
      </c>
      <c r="C42" s="781" t="s">
        <v>52</v>
      </c>
      <c r="D42" s="1212" t="s">
        <v>1665</v>
      </c>
      <c r="E42" s="756" t="s">
        <v>52</v>
      </c>
      <c r="F42" s="756" t="s">
        <v>52</v>
      </c>
      <c r="G42" s="756" t="s">
        <v>52</v>
      </c>
      <c r="H42" s="827" t="s">
        <v>52</v>
      </c>
      <c r="I42" s="756" t="s">
        <v>52</v>
      </c>
      <c r="J42" s="756" t="s">
        <v>52</v>
      </c>
      <c r="K42" s="756" t="s">
        <v>52</v>
      </c>
      <c r="L42" s="756">
        <v>9</v>
      </c>
      <c r="M42" s="756" t="s">
        <v>52</v>
      </c>
      <c r="N42" s="756" t="s">
        <v>52</v>
      </c>
      <c r="O42" s="756">
        <v>9</v>
      </c>
      <c r="P42" s="758" t="s">
        <v>52</v>
      </c>
      <c r="Q42" s="756" t="s">
        <v>52</v>
      </c>
      <c r="R42" s="756" t="s">
        <v>52</v>
      </c>
      <c r="S42" s="1460"/>
      <c r="T42" s="829" t="s">
        <v>156</v>
      </c>
      <c r="V42" s="829" t="s">
        <v>156</v>
      </c>
      <c r="W42" s="756" t="s">
        <v>52</v>
      </c>
      <c r="X42" s="851" t="s">
        <v>52</v>
      </c>
      <c r="Y42" s="756" t="s">
        <v>52</v>
      </c>
      <c r="Z42" s="756" t="s">
        <v>52</v>
      </c>
      <c r="AA42" s="756" t="s">
        <v>52</v>
      </c>
      <c r="AB42" s="756">
        <v>9</v>
      </c>
      <c r="AC42" s="756" t="s">
        <v>52</v>
      </c>
      <c r="AD42" s="756" t="s">
        <v>52</v>
      </c>
      <c r="AE42" s="756" t="s">
        <v>52</v>
      </c>
      <c r="AF42" s="756" t="s">
        <v>52</v>
      </c>
      <c r="AG42" s="756">
        <v>9</v>
      </c>
      <c r="AH42" s="830" t="s">
        <v>52</v>
      </c>
      <c r="AJ42" s="829" t="s">
        <v>156</v>
      </c>
      <c r="AL42" s="829" t="s">
        <v>156</v>
      </c>
      <c r="AM42" s="756">
        <v>9</v>
      </c>
      <c r="AN42" s="756">
        <v>9</v>
      </c>
      <c r="AO42" s="830" t="s">
        <v>52</v>
      </c>
      <c r="AP42" s="756" t="s">
        <v>52</v>
      </c>
      <c r="AQ42" s="756" t="s">
        <v>52</v>
      </c>
      <c r="AR42" s="756" t="s">
        <v>52</v>
      </c>
      <c r="AS42" s="756" t="s">
        <v>52</v>
      </c>
      <c r="AT42" s="756" t="s">
        <v>52</v>
      </c>
      <c r="AU42" s="756" t="s">
        <v>52</v>
      </c>
      <c r="AV42" s="756" t="s">
        <v>52</v>
      </c>
      <c r="AW42" s="756" t="s">
        <v>52</v>
      </c>
      <c r="AX42" s="756" t="s">
        <v>52</v>
      </c>
      <c r="AY42" s="756" t="s">
        <v>52</v>
      </c>
      <c r="BA42" s="829" t="s">
        <v>156</v>
      </c>
      <c r="BC42" s="829" t="s">
        <v>156</v>
      </c>
      <c r="BD42" s="756" t="s">
        <v>52</v>
      </c>
      <c r="BE42" s="827" t="s">
        <v>52</v>
      </c>
      <c r="BF42" s="756" t="s">
        <v>52</v>
      </c>
      <c r="BG42" s="758" t="s">
        <v>52</v>
      </c>
      <c r="BH42" s="756" t="s">
        <v>52</v>
      </c>
      <c r="BI42" s="756" t="s">
        <v>52</v>
      </c>
      <c r="BJ42" s="756" t="s">
        <v>52</v>
      </c>
      <c r="BK42" s="830" t="s">
        <v>52</v>
      </c>
      <c r="BL42" s="830"/>
      <c r="BN42" s="829" t="s">
        <v>156</v>
      </c>
    </row>
    <row r="43" spans="1:66" ht="11.45" customHeight="1">
      <c r="A43" s="2237" t="s">
        <v>169</v>
      </c>
      <c r="B43" s="2237"/>
      <c r="C43" s="757"/>
      <c r="D43" s="757"/>
      <c r="E43" s="757"/>
      <c r="F43" s="757"/>
      <c r="G43" s="757"/>
      <c r="H43" s="757"/>
      <c r="I43" s="757"/>
      <c r="J43" s="757"/>
      <c r="K43" s="757"/>
      <c r="L43" s="757"/>
      <c r="M43" s="757"/>
      <c r="N43" s="757"/>
      <c r="O43" s="757"/>
      <c r="P43" s="759"/>
      <c r="Q43" s="757"/>
      <c r="R43" s="759"/>
      <c r="S43" s="2237" t="s">
        <v>169</v>
      </c>
      <c r="T43" s="2237"/>
      <c r="U43" s="2237" t="s">
        <v>169</v>
      </c>
      <c r="V43" s="2237"/>
      <c r="W43" s="757"/>
      <c r="X43" s="757"/>
      <c r="Y43" s="757"/>
      <c r="Z43" s="757"/>
      <c r="AA43" s="757"/>
      <c r="AB43" s="757"/>
      <c r="AC43" s="757"/>
      <c r="AD43" s="757"/>
      <c r="AE43" s="757"/>
      <c r="AF43" s="757"/>
      <c r="AG43" s="757"/>
      <c r="AH43" s="757"/>
      <c r="AI43" s="2237" t="s">
        <v>169</v>
      </c>
      <c r="AJ43" s="2237"/>
      <c r="AK43" s="2237" t="s">
        <v>169</v>
      </c>
      <c r="AL43" s="2237"/>
      <c r="AM43" s="757"/>
      <c r="AN43" s="759"/>
      <c r="AO43" s="759"/>
      <c r="AP43" s="757"/>
      <c r="AQ43" s="757"/>
      <c r="AR43" s="757"/>
      <c r="AS43" s="757"/>
      <c r="AT43" s="757"/>
      <c r="AU43" s="757"/>
      <c r="AV43" s="757"/>
      <c r="AW43" s="757"/>
      <c r="AX43" s="757"/>
      <c r="AY43" s="757"/>
      <c r="AZ43" s="2237" t="s">
        <v>169</v>
      </c>
      <c r="BA43" s="2237"/>
      <c r="BB43" s="2237" t="s">
        <v>169</v>
      </c>
      <c r="BC43" s="2237"/>
      <c r="BD43" s="757"/>
      <c r="BE43" s="757"/>
      <c r="BF43" s="757"/>
      <c r="BG43" s="759"/>
      <c r="BH43" s="757"/>
      <c r="BI43" s="757"/>
      <c r="BJ43" s="757"/>
      <c r="BK43" s="757"/>
      <c r="BL43" s="757"/>
      <c r="BM43" s="2237" t="s">
        <v>169</v>
      </c>
      <c r="BN43" s="2237"/>
    </row>
    <row r="44" spans="1:66" s="13" customFormat="1" ht="11.45" customHeight="1">
      <c r="A44" s="8"/>
      <c r="B44" s="829" t="s">
        <v>155</v>
      </c>
      <c r="C44" s="756">
        <v>9</v>
      </c>
      <c r="D44" s="756">
        <v>9</v>
      </c>
      <c r="E44" s="756">
        <v>9</v>
      </c>
      <c r="F44" s="756">
        <v>9</v>
      </c>
      <c r="G44" s="756">
        <v>9</v>
      </c>
      <c r="H44" s="830" t="s">
        <v>52</v>
      </c>
      <c r="I44" s="756" t="s">
        <v>1665</v>
      </c>
      <c r="J44" s="756">
        <v>9</v>
      </c>
      <c r="K44" s="756" t="s">
        <v>52</v>
      </c>
      <c r="L44" s="756">
        <v>9</v>
      </c>
      <c r="M44" s="756">
        <v>9</v>
      </c>
      <c r="N44" s="756">
        <v>9</v>
      </c>
      <c r="O44" s="781">
        <v>9</v>
      </c>
      <c r="P44" s="756">
        <v>9</v>
      </c>
      <c r="Q44" s="756">
        <v>9</v>
      </c>
      <c r="R44" s="781" t="s">
        <v>1471</v>
      </c>
      <c r="S44" s="1460"/>
      <c r="T44" s="829" t="s">
        <v>155</v>
      </c>
      <c r="U44" s="8"/>
      <c r="V44" s="829" t="s">
        <v>155</v>
      </c>
      <c r="W44" s="851" t="s">
        <v>2655</v>
      </c>
      <c r="X44" s="851">
        <v>9</v>
      </c>
      <c r="Y44" s="756">
        <v>9</v>
      </c>
      <c r="Z44" s="756">
        <v>9</v>
      </c>
      <c r="AA44" s="756">
        <v>9</v>
      </c>
      <c r="AB44" s="756" t="s">
        <v>1470</v>
      </c>
      <c r="AC44" s="756" t="s">
        <v>1471</v>
      </c>
      <c r="AD44" s="756">
        <v>9</v>
      </c>
      <c r="AE44" s="756" t="s">
        <v>1471</v>
      </c>
      <c r="AF44" s="851">
        <v>9</v>
      </c>
      <c r="AG44" s="756">
        <v>9</v>
      </c>
      <c r="AH44" s="756">
        <v>9</v>
      </c>
      <c r="AI44" s="8"/>
      <c r="AJ44" s="829" t="s">
        <v>155</v>
      </c>
      <c r="AK44" s="8"/>
      <c r="AL44" s="829" t="s">
        <v>155</v>
      </c>
      <c r="AM44" s="756">
        <v>9</v>
      </c>
      <c r="AN44" s="756">
        <v>9</v>
      </c>
      <c r="AO44" s="851" t="s">
        <v>1471</v>
      </c>
      <c r="AP44" s="756">
        <v>9</v>
      </c>
      <c r="AQ44" s="756" t="s">
        <v>2706</v>
      </c>
      <c r="AR44" s="756">
        <v>9</v>
      </c>
      <c r="AS44" s="756" t="s">
        <v>2506</v>
      </c>
      <c r="AT44" s="756">
        <v>9</v>
      </c>
      <c r="AU44" s="756" t="s">
        <v>1471</v>
      </c>
      <c r="AV44" s="756">
        <v>9</v>
      </c>
      <c r="AW44" s="756" t="s">
        <v>1471</v>
      </c>
      <c r="AX44" s="756">
        <v>9</v>
      </c>
      <c r="AY44" s="756">
        <v>9</v>
      </c>
      <c r="AZ44" s="8"/>
      <c r="BA44" s="829" t="s">
        <v>155</v>
      </c>
      <c r="BB44" s="8"/>
      <c r="BC44" s="829" t="s">
        <v>155</v>
      </c>
      <c r="BD44" s="756">
        <v>9</v>
      </c>
      <c r="BE44" s="756" t="s">
        <v>1326</v>
      </c>
      <c r="BF44" s="756" t="s">
        <v>1326</v>
      </c>
      <c r="BG44" s="756" t="s">
        <v>52</v>
      </c>
      <c r="BH44" s="756">
        <v>6.75</v>
      </c>
      <c r="BI44" s="756" t="s">
        <v>52</v>
      </c>
      <c r="BJ44" s="756" t="s">
        <v>2584</v>
      </c>
      <c r="BK44" s="756">
        <v>9</v>
      </c>
      <c r="BL44" s="756" t="s">
        <v>52</v>
      </c>
      <c r="BM44" s="8"/>
      <c r="BN44" s="829" t="s">
        <v>155</v>
      </c>
    </row>
    <row r="45" spans="1:66" ht="11.45" customHeight="1">
      <c r="A45" s="765"/>
      <c r="B45" s="351" t="s">
        <v>156</v>
      </c>
      <c r="C45" s="757" t="s">
        <v>52</v>
      </c>
      <c r="D45" s="757" t="s">
        <v>52</v>
      </c>
      <c r="E45" s="757">
        <v>9</v>
      </c>
      <c r="F45" s="757" t="s">
        <v>52</v>
      </c>
      <c r="G45" s="757" t="s">
        <v>52</v>
      </c>
      <c r="H45" s="757">
        <v>9</v>
      </c>
      <c r="I45" s="757" t="s">
        <v>52</v>
      </c>
      <c r="J45" s="757" t="s">
        <v>52</v>
      </c>
      <c r="K45" s="757" t="s">
        <v>52</v>
      </c>
      <c r="L45" s="757">
        <v>9</v>
      </c>
      <c r="M45" s="757">
        <v>9</v>
      </c>
      <c r="N45" s="757" t="s">
        <v>52</v>
      </c>
      <c r="O45" s="879">
        <v>9</v>
      </c>
      <c r="P45" s="759" t="s">
        <v>52</v>
      </c>
      <c r="Q45" s="759" t="s">
        <v>52</v>
      </c>
      <c r="R45" s="759" t="s">
        <v>52</v>
      </c>
      <c r="S45" s="1459"/>
      <c r="T45" s="351" t="s">
        <v>156</v>
      </c>
      <c r="U45" s="765"/>
      <c r="V45" s="351" t="s">
        <v>156</v>
      </c>
      <c r="W45" s="757" t="s">
        <v>52</v>
      </c>
      <c r="X45" s="757" t="s">
        <v>52</v>
      </c>
      <c r="Y45" s="757" t="s">
        <v>52</v>
      </c>
      <c r="Z45" s="757" t="s">
        <v>52</v>
      </c>
      <c r="AA45" s="757" t="s">
        <v>52</v>
      </c>
      <c r="AB45" s="757" t="s">
        <v>2504</v>
      </c>
      <c r="AC45" s="757" t="s">
        <v>52</v>
      </c>
      <c r="AD45" s="757" t="s">
        <v>52</v>
      </c>
      <c r="AE45" s="757" t="s">
        <v>52</v>
      </c>
      <c r="AF45" s="757" t="s">
        <v>52</v>
      </c>
      <c r="AG45" s="757">
        <v>9</v>
      </c>
      <c r="AH45" s="831" t="s">
        <v>52</v>
      </c>
      <c r="AI45" s="765"/>
      <c r="AJ45" s="351" t="s">
        <v>156</v>
      </c>
      <c r="AK45" s="765"/>
      <c r="AL45" s="351" t="s">
        <v>156</v>
      </c>
      <c r="AM45" s="757" t="s">
        <v>52</v>
      </c>
      <c r="AN45" s="757" t="s">
        <v>52</v>
      </c>
      <c r="AO45" s="831" t="s">
        <v>52</v>
      </c>
      <c r="AP45" s="757" t="s">
        <v>52</v>
      </c>
      <c r="AQ45" s="757" t="s">
        <v>52</v>
      </c>
      <c r="AR45" s="831" t="s">
        <v>52</v>
      </c>
      <c r="AS45" s="757" t="s">
        <v>52</v>
      </c>
      <c r="AT45" s="757" t="s">
        <v>52</v>
      </c>
      <c r="AU45" s="757" t="s">
        <v>52</v>
      </c>
      <c r="AV45" s="757" t="s">
        <v>52</v>
      </c>
      <c r="AW45" s="757" t="s">
        <v>52</v>
      </c>
      <c r="AX45" s="757" t="s">
        <v>52</v>
      </c>
      <c r="AY45" s="757" t="s">
        <v>52</v>
      </c>
      <c r="AZ45" s="765"/>
      <c r="BA45" s="351" t="s">
        <v>156</v>
      </c>
      <c r="BB45" s="765"/>
      <c r="BC45" s="351" t="s">
        <v>156</v>
      </c>
      <c r="BD45" s="757" t="s">
        <v>52</v>
      </c>
      <c r="BE45" s="757" t="s">
        <v>1326</v>
      </c>
      <c r="BF45" s="757" t="s">
        <v>52</v>
      </c>
      <c r="BG45" s="759" t="s">
        <v>52</v>
      </c>
      <c r="BH45" s="757" t="s">
        <v>52</v>
      </c>
      <c r="BI45" s="757" t="s">
        <v>52</v>
      </c>
      <c r="BJ45" s="757" t="s">
        <v>52</v>
      </c>
      <c r="BK45" s="831" t="s">
        <v>52</v>
      </c>
      <c r="BL45" s="757" t="s">
        <v>52</v>
      </c>
      <c r="BM45" s="765"/>
      <c r="BN45" s="351" t="s">
        <v>156</v>
      </c>
    </row>
    <row r="46" spans="1:66" ht="11.45" customHeight="1">
      <c r="A46" s="2234" t="s">
        <v>170</v>
      </c>
      <c r="B46" s="2234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6"/>
      <c r="P46" s="758"/>
      <c r="Q46" s="758"/>
      <c r="R46" s="758"/>
      <c r="S46" s="2234" t="s">
        <v>170</v>
      </c>
      <c r="T46" s="2234"/>
      <c r="U46" s="2234" t="s">
        <v>170</v>
      </c>
      <c r="V46" s="2234"/>
      <c r="W46" s="756"/>
      <c r="X46" s="851"/>
      <c r="Y46" s="756"/>
      <c r="Z46" s="756"/>
      <c r="AA46" s="756"/>
      <c r="AB46" s="756"/>
      <c r="AC46" s="756"/>
      <c r="AD46" s="756"/>
      <c r="AE46" s="756"/>
      <c r="AF46" s="756"/>
      <c r="AG46" s="756"/>
      <c r="AH46" s="756"/>
      <c r="AI46" s="2234" t="s">
        <v>170</v>
      </c>
      <c r="AJ46" s="2234"/>
      <c r="AK46" s="2234" t="s">
        <v>170</v>
      </c>
      <c r="AL46" s="2234"/>
      <c r="AM46" s="756"/>
      <c r="AN46" s="756"/>
      <c r="AO46" s="756"/>
      <c r="AP46" s="756"/>
      <c r="AQ46" s="756"/>
      <c r="AR46" s="756"/>
      <c r="AS46" s="756"/>
      <c r="AT46" s="756"/>
      <c r="AU46" s="756"/>
      <c r="AV46" s="756"/>
      <c r="AW46" s="756"/>
      <c r="AX46" s="756"/>
      <c r="AY46" s="756"/>
      <c r="AZ46" s="2234" t="s">
        <v>170</v>
      </c>
      <c r="BA46" s="2234"/>
      <c r="BB46" s="2234" t="s">
        <v>170</v>
      </c>
      <c r="BC46" s="2234"/>
      <c r="BD46" s="756"/>
      <c r="BE46" s="756"/>
      <c r="BF46" s="756"/>
      <c r="BG46" s="758"/>
      <c r="BH46" s="756"/>
      <c r="BI46" s="756"/>
      <c r="BJ46" s="756"/>
      <c r="BK46" s="756"/>
      <c r="BL46" s="756"/>
      <c r="BM46" s="2234" t="s">
        <v>170</v>
      </c>
      <c r="BN46" s="2234"/>
    </row>
    <row r="47" spans="1:66" s="9" customFormat="1" ht="11.45" customHeight="1">
      <c r="A47" s="332"/>
      <c r="B47" s="351" t="s">
        <v>155</v>
      </c>
      <c r="C47" s="757" t="s">
        <v>52</v>
      </c>
      <c r="D47" s="879">
        <v>9</v>
      </c>
      <c r="E47" s="879">
        <v>9</v>
      </c>
      <c r="F47" s="757" t="s">
        <v>1713</v>
      </c>
      <c r="G47" s="757">
        <v>9</v>
      </c>
      <c r="H47" s="757">
        <v>9</v>
      </c>
      <c r="I47" s="757" t="s">
        <v>52</v>
      </c>
      <c r="J47" s="757" t="s">
        <v>1665</v>
      </c>
      <c r="K47" s="757">
        <v>9</v>
      </c>
      <c r="L47" s="757">
        <v>9</v>
      </c>
      <c r="M47" s="782">
        <v>9</v>
      </c>
      <c r="N47" s="782">
        <v>9</v>
      </c>
      <c r="O47" s="879">
        <v>9</v>
      </c>
      <c r="P47" s="757">
        <v>9</v>
      </c>
      <c r="Q47" s="757">
        <v>9</v>
      </c>
      <c r="R47" s="757">
        <v>9</v>
      </c>
      <c r="S47" s="438"/>
      <c r="T47" s="351" t="s">
        <v>155</v>
      </c>
      <c r="U47" s="332"/>
      <c r="V47" s="351" t="s">
        <v>155</v>
      </c>
      <c r="W47" s="757">
        <v>9</v>
      </c>
      <c r="X47" s="757">
        <v>9</v>
      </c>
      <c r="Y47" s="757">
        <v>9</v>
      </c>
      <c r="Z47" s="757">
        <v>9</v>
      </c>
      <c r="AA47" s="757" t="s">
        <v>2397</v>
      </c>
      <c r="AB47" s="757" t="s">
        <v>1326</v>
      </c>
      <c r="AC47" s="757" t="s">
        <v>2099</v>
      </c>
      <c r="AD47" s="757" t="s">
        <v>1665</v>
      </c>
      <c r="AE47" s="757" t="s">
        <v>1471</v>
      </c>
      <c r="AF47" s="757">
        <v>9</v>
      </c>
      <c r="AG47" s="757">
        <v>9</v>
      </c>
      <c r="AH47" s="757">
        <v>9</v>
      </c>
      <c r="AI47" s="332"/>
      <c r="AJ47" s="351" t="s">
        <v>155</v>
      </c>
      <c r="AK47" s="332"/>
      <c r="AL47" s="351" t="s">
        <v>155</v>
      </c>
      <c r="AM47" s="757">
        <v>9</v>
      </c>
      <c r="AN47" s="757" t="s">
        <v>2630</v>
      </c>
      <c r="AO47" s="757" t="s">
        <v>1326</v>
      </c>
      <c r="AP47" s="757">
        <v>9</v>
      </c>
      <c r="AQ47" s="757">
        <v>9</v>
      </c>
      <c r="AR47" s="757" t="s">
        <v>1665</v>
      </c>
      <c r="AS47" s="757">
        <v>9</v>
      </c>
      <c r="AT47" s="757">
        <v>9</v>
      </c>
      <c r="AU47" s="757" t="s">
        <v>1471</v>
      </c>
      <c r="AV47" s="757">
        <v>9</v>
      </c>
      <c r="AW47" s="757" t="s">
        <v>1471</v>
      </c>
      <c r="AX47" s="757">
        <v>9</v>
      </c>
      <c r="AY47" s="757">
        <v>9</v>
      </c>
      <c r="AZ47" s="332"/>
      <c r="BA47" s="351" t="s">
        <v>155</v>
      </c>
      <c r="BB47" s="332"/>
      <c r="BC47" s="351" t="s">
        <v>155</v>
      </c>
      <c r="BD47" s="757" t="s">
        <v>52</v>
      </c>
      <c r="BE47" s="757" t="s">
        <v>2158</v>
      </c>
      <c r="BF47" s="757" t="s">
        <v>2157</v>
      </c>
      <c r="BG47" s="757">
        <v>9</v>
      </c>
      <c r="BH47" s="757" t="s">
        <v>52</v>
      </c>
      <c r="BI47" s="757" t="s">
        <v>2099</v>
      </c>
      <c r="BJ47" s="757" t="s">
        <v>52</v>
      </c>
      <c r="BK47" s="757" t="s">
        <v>1470</v>
      </c>
      <c r="BL47" s="757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7" t="s">
        <v>156</v>
      </c>
      <c r="C48" s="780">
        <v>9</v>
      </c>
      <c r="D48" s="1213" t="s">
        <v>52</v>
      </c>
      <c r="E48" s="780" t="s">
        <v>52</v>
      </c>
      <c r="F48" s="1214" t="s">
        <v>52</v>
      </c>
      <c r="G48" s="837" t="s">
        <v>52</v>
      </c>
      <c r="H48" s="837" t="s">
        <v>52</v>
      </c>
      <c r="I48" s="780" t="s">
        <v>1468</v>
      </c>
      <c r="J48" s="837" t="s">
        <v>52</v>
      </c>
      <c r="K48" s="837" t="s">
        <v>1468</v>
      </c>
      <c r="L48" s="780">
        <v>9</v>
      </c>
      <c r="M48" s="838">
        <v>9</v>
      </c>
      <c r="N48" s="780">
        <v>9</v>
      </c>
      <c r="O48" s="1182" t="s">
        <v>52</v>
      </c>
      <c r="P48" s="839" t="s">
        <v>52</v>
      </c>
      <c r="Q48" s="839" t="s">
        <v>52</v>
      </c>
      <c r="R48" s="780" t="s">
        <v>52</v>
      </c>
      <c r="S48" s="1427"/>
      <c r="T48" s="817" t="s">
        <v>156</v>
      </c>
      <c r="U48" s="551"/>
      <c r="V48" s="817" t="s">
        <v>156</v>
      </c>
      <c r="W48" s="780" t="s">
        <v>52</v>
      </c>
      <c r="X48" s="780" t="s">
        <v>52</v>
      </c>
      <c r="Y48" s="839" t="s">
        <v>52</v>
      </c>
      <c r="Z48" s="780" t="s">
        <v>52</v>
      </c>
      <c r="AA48" s="839" t="s">
        <v>52</v>
      </c>
      <c r="AB48" s="839" t="s">
        <v>52</v>
      </c>
      <c r="AC48" s="839" t="s">
        <v>1326</v>
      </c>
      <c r="AD48" s="780">
        <v>9</v>
      </c>
      <c r="AE48" s="839" t="s">
        <v>52</v>
      </c>
      <c r="AF48" s="839" t="s">
        <v>52</v>
      </c>
      <c r="AG48" s="780">
        <v>9</v>
      </c>
      <c r="AH48" s="838" t="s">
        <v>52</v>
      </c>
      <c r="AI48" s="551"/>
      <c r="AJ48" s="817" t="s">
        <v>156</v>
      </c>
      <c r="AK48" s="551"/>
      <c r="AL48" s="817" t="s">
        <v>156</v>
      </c>
      <c r="AM48" s="780" t="s">
        <v>52</v>
      </c>
      <c r="AN48" s="839" t="s">
        <v>52</v>
      </c>
      <c r="AO48" s="839" t="s">
        <v>52</v>
      </c>
      <c r="AP48" s="839" t="s">
        <v>52</v>
      </c>
      <c r="AQ48" s="839" t="s">
        <v>52</v>
      </c>
      <c r="AR48" s="780">
        <v>9</v>
      </c>
      <c r="AS48" s="839" t="s">
        <v>52</v>
      </c>
      <c r="AT48" s="839" t="s">
        <v>52</v>
      </c>
      <c r="AU48" s="838" t="s">
        <v>52</v>
      </c>
      <c r="AV48" s="780">
        <v>9</v>
      </c>
      <c r="AW48" s="839" t="s">
        <v>52</v>
      </c>
      <c r="AX48" s="780" t="s">
        <v>2505</v>
      </c>
      <c r="AY48" s="839" t="s">
        <v>52</v>
      </c>
      <c r="AZ48" s="551"/>
      <c r="BA48" s="817" t="s">
        <v>156</v>
      </c>
      <c r="BB48" s="551"/>
      <c r="BC48" s="817" t="s">
        <v>156</v>
      </c>
      <c r="BD48" s="780" t="s">
        <v>52</v>
      </c>
      <c r="BE48" s="780" t="s">
        <v>2629</v>
      </c>
      <c r="BF48" s="780" t="s">
        <v>52</v>
      </c>
      <c r="BG48" s="839" t="s">
        <v>52</v>
      </c>
      <c r="BH48" s="839" t="s">
        <v>52</v>
      </c>
      <c r="BI48" s="780" t="s">
        <v>1326</v>
      </c>
      <c r="BJ48" s="780" t="s">
        <v>52</v>
      </c>
      <c r="BK48" s="838" t="s">
        <v>52</v>
      </c>
      <c r="BL48" s="780" t="s">
        <v>52</v>
      </c>
      <c r="BM48" s="551"/>
      <c r="BN48" s="817" t="s">
        <v>156</v>
      </c>
    </row>
    <row r="49" spans="1:66" ht="10.5" customHeight="1">
      <c r="A49" s="2261" t="s">
        <v>1370</v>
      </c>
      <c r="B49" s="2261"/>
      <c r="C49" s="2261"/>
      <c r="D49" s="2261"/>
      <c r="E49" s="2261"/>
      <c r="F49" s="2261"/>
      <c r="G49" s="2261"/>
      <c r="H49" s="2261"/>
      <c r="I49" s="2261"/>
      <c r="J49" s="2261"/>
      <c r="K49" s="821"/>
      <c r="L49" s="1445"/>
      <c r="M49" s="1445"/>
      <c r="N49" s="1445"/>
      <c r="O49" s="1445"/>
      <c r="P49" s="1445"/>
      <c r="Q49" s="1445"/>
      <c r="R49" s="1445"/>
      <c r="S49" s="1445"/>
      <c r="T49" s="1445"/>
      <c r="U49" s="2238" t="s">
        <v>1370</v>
      </c>
      <c r="V49" s="2238"/>
      <c r="W49" s="2238"/>
      <c r="X49" s="2238"/>
      <c r="Y49" s="2238"/>
      <c r="Z49" s="840"/>
      <c r="AA49" s="841"/>
      <c r="AB49" s="841"/>
      <c r="AC49" s="841"/>
      <c r="AD49" s="841"/>
      <c r="AE49" s="841"/>
      <c r="AF49" s="841"/>
      <c r="AG49" s="841"/>
      <c r="AH49" s="841"/>
      <c r="AK49" s="2238" t="s">
        <v>1370</v>
      </c>
      <c r="AL49" s="2238"/>
      <c r="AM49" s="2238"/>
      <c r="AN49" s="2238"/>
      <c r="BB49" s="2238" t="s">
        <v>1666</v>
      </c>
      <c r="BC49" s="2238"/>
      <c r="BD49" s="2238"/>
      <c r="BE49" s="2238"/>
      <c r="BF49" s="2238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675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45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O14" sqref="O14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70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73" t="s">
        <v>2444</v>
      </c>
      <c r="B1" s="2274"/>
      <c r="C1" s="2274"/>
      <c r="D1" s="2274"/>
      <c r="E1" s="2274"/>
      <c r="F1" s="2274"/>
      <c r="G1" s="2274"/>
      <c r="H1" s="2274"/>
      <c r="I1" s="2274"/>
      <c r="L1" s="2267" t="s">
        <v>1206</v>
      </c>
      <c r="M1" s="2267"/>
    </row>
    <row r="2" spans="1:15" s="5" customFormat="1" ht="11.25" customHeight="1">
      <c r="B2" s="1265"/>
      <c r="C2" s="1265"/>
      <c r="D2" s="1265"/>
      <c r="E2" s="1265"/>
      <c r="F2" s="1265"/>
      <c r="G2" s="1203"/>
      <c r="H2" s="1262"/>
      <c r="I2" s="1262"/>
      <c r="L2" s="2268" t="s">
        <v>551</v>
      </c>
      <c r="M2" s="2268"/>
    </row>
    <row r="3" spans="1:15" s="425" customFormat="1" ht="60" customHeight="1">
      <c r="A3" s="1788" t="s">
        <v>617</v>
      </c>
      <c r="B3" s="1788"/>
      <c r="C3" s="1788"/>
      <c r="D3" s="1438" t="s">
        <v>1530</v>
      </c>
      <c r="E3" s="1438" t="s">
        <v>1459</v>
      </c>
      <c r="F3" s="1438" t="s">
        <v>96</v>
      </c>
      <c r="G3" s="1438" t="s">
        <v>1531</v>
      </c>
      <c r="H3" s="1438" t="s">
        <v>1532</v>
      </c>
      <c r="I3" s="1438" t="s">
        <v>1533</v>
      </c>
      <c r="J3" s="1438" t="s">
        <v>1534</v>
      </c>
      <c r="K3" s="1438" t="s">
        <v>1535</v>
      </c>
      <c r="L3" s="1438" t="s">
        <v>2445</v>
      </c>
      <c r="M3" s="1438" t="s">
        <v>2446</v>
      </c>
    </row>
    <row r="4" spans="1:15" s="1447" customFormat="1" ht="9.9499999999999993" customHeight="1">
      <c r="A4" s="169" t="s">
        <v>632</v>
      </c>
      <c r="B4" s="2272" t="s">
        <v>661</v>
      </c>
      <c r="C4" s="2272"/>
      <c r="D4" s="1470">
        <v>2.93</v>
      </c>
      <c r="E4" s="1470">
        <v>1.8900000000000001</v>
      </c>
      <c r="F4" s="1452">
        <v>3</v>
      </c>
      <c r="G4" s="1453">
        <v>2.25</v>
      </c>
      <c r="H4" s="1470">
        <v>2.12</v>
      </c>
      <c r="I4" s="1470">
        <v>4.91</v>
      </c>
      <c r="J4" s="1470">
        <v>2.73</v>
      </c>
      <c r="K4" s="1452">
        <v>3.6799999999999997</v>
      </c>
      <c r="L4" s="1452">
        <v>2.64</v>
      </c>
      <c r="M4" s="1452">
        <v>3</v>
      </c>
      <c r="O4" s="1449"/>
    </row>
    <row r="5" spans="1:15" s="33" customFormat="1" ht="9.9499999999999993" customHeight="1">
      <c r="A5" s="1471" t="s">
        <v>633</v>
      </c>
      <c r="B5" s="2270" t="s">
        <v>662</v>
      </c>
      <c r="C5" s="2270"/>
      <c r="D5" s="919"/>
      <c r="E5" s="919"/>
      <c r="F5" s="1472"/>
      <c r="G5" s="1472"/>
      <c r="H5" s="919"/>
      <c r="I5" s="919"/>
      <c r="J5" s="919"/>
      <c r="K5" s="1472"/>
      <c r="L5" s="1472"/>
      <c r="M5" s="1472"/>
      <c r="O5" s="1449"/>
    </row>
    <row r="6" spans="1:15" s="33" customFormat="1" ht="9.9499999999999993" customHeight="1">
      <c r="A6" s="169"/>
      <c r="B6" s="267" t="s">
        <v>663</v>
      </c>
      <c r="C6" s="71" t="s">
        <v>664</v>
      </c>
      <c r="D6" s="1470">
        <v>5.28</v>
      </c>
      <c r="E6" s="1470">
        <v>4.82</v>
      </c>
      <c r="F6" s="1452">
        <v>6</v>
      </c>
      <c r="G6" s="1452">
        <v>5.6</v>
      </c>
      <c r="H6" s="1470">
        <v>3.8600000000000003</v>
      </c>
      <c r="I6" s="1470">
        <v>6.5699999999999994</v>
      </c>
      <c r="J6" s="1470">
        <v>4.16</v>
      </c>
      <c r="K6" s="1452">
        <v>9.370000000000001</v>
      </c>
      <c r="L6" s="1452">
        <v>4.6899999999999995</v>
      </c>
      <c r="M6" s="1452">
        <v>6</v>
      </c>
      <c r="O6" s="1449"/>
    </row>
    <row r="7" spans="1:15" s="33" customFormat="1" ht="9.9499999999999993" customHeight="1">
      <c r="A7" s="1471"/>
      <c r="B7" s="1468" t="s">
        <v>665</v>
      </c>
      <c r="C7" s="1469" t="s">
        <v>666</v>
      </c>
      <c r="D7" s="919">
        <v>5.18</v>
      </c>
      <c r="E7" s="919">
        <v>4.6100000000000003</v>
      </c>
      <c r="F7" s="1472">
        <v>6</v>
      </c>
      <c r="G7" s="1472">
        <v>5.6</v>
      </c>
      <c r="H7" s="919">
        <v>3.8600000000000003</v>
      </c>
      <c r="I7" s="919">
        <v>6.4799999999999995</v>
      </c>
      <c r="J7" s="919">
        <v>4.16</v>
      </c>
      <c r="K7" s="1472">
        <v>8.66</v>
      </c>
      <c r="L7" s="1472">
        <v>4.6899999999999995</v>
      </c>
      <c r="M7" s="1472">
        <v>6</v>
      </c>
      <c r="O7" s="1449"/>
    </row>
    <row r="8" spans="1:15" s="33" customFormat="1" ht="9.9499999999999993" customHeight="1">
      <c r="A8" s="169"/>
      <c r="B8" s="267" t="s">
        <v>667</v>
      </c>
      <c r="C8" s="71" t="s">
        <v>79</v>
      </c>
      <c r="D8" s="1470">
        <v>5.1100000000000003</v>
      </c>
      <c r="E8" s="1470">
        <v>4.1900000000000004</v>
      </c>
      <c r="F8" s="1452">
        <v>6</v>
      </c>
      <c r="G8" s="1452">
        <v>5.6</v>
      </c>
      <c r="H8" s="1470">
        <v>3.8600000000000003</v>
      </c>
      <c r="I8" s="1470">
        <v>6.4399999999999995</v>
      </c>
      <c r="J8" s="1470">
        <v>4.16</v>
      </c>
      <c r="K8" s="1452">
        <v>6.25</v>
      </c>
      <c r="L8" s="1452">
        <v>4.6899999999999995</v>
      </c>
      <c r="M8" s="1452">
        <v>6</v>
      </c>
      <c r="O8" s="1449"/>
    </row>
    <row r="9" spans="1:15" s="33" customFormat="1" ht="9.9499999999999993" customHeight="1">
      <c r="A9" s="1471"/>
      <c r="B9" s="1468" t="s">
        <v>668</v>
      </c>
      <c r="C9" s="1469" t="s">
        <v>669</v>
      </c>
      <c r="D9" s="919">
        <v>5.0200000000000005</v>
      </c>
      <c r="E9" s="919">
        <v>3.9800000000000004</v>
      </c>
      <c r="F9" s="1472">
        <v>5.75</v>
      </c>
      <c r="G9" s="1472">
        <v>5.6</v>
      </c>
      <c r="H9" s="919">
        <v>3.38</v>
      </c>
      <c r="I9" s="919">
        <v>6.81</v>
      </c>
      <c r="J9" s="919">
        <v>3.98</v>
      </c>
      <c r="K9" s="1472">
        <v>6.34</v>
      </c>
      <c r="L9" s="1472">
        <v>4.3999999999999995</v>
      </c>
      <c r="M9" s="1472">
        <v>6</v>
      </c>
      <c r="O9" s="1449"/>
    </row>
    <row r="10" spans="1:15" s="33" customFormat="1" ht="9.9499999999999993" customHeight="1">
      <c r="A10" s="169"/>
      <c r="B10" s="267" t="s">
        <v>670</v>
      </c>
      <c r="C10" s="71" t="s">
        <v>671</v>
      </c>
      <c r="D10" s="1470">
        <v>4.95</v>
      </c>
      <c r="E10" s="1470">
        <v>3.7699999999999996</v>
      </c>
      <c r="F10" s="1452">
        <v>5.6</v>
      </c>
      <c r="G10" s="1452">
        <v>5.6</v>
      </c>
      <c r="H10" s="1470">
        <v>3.38</v>
      </c>
      <c r="I10" s="1470">
        <v>6.54</v>
      </c>
      <c r="J10" s="1470">
        <v>3.81</v>
      </c>
      <c r="K10" s="1452">
        <v>6.1</v>
      </c>
      <c r="L10" s="1452">
        <v>4.1099999999999994</v>
      </c>
      <c r="M10" s="1452">
        <v>6</v>
      </c>
      <c r="O10" s="1449"/>
    </row>
    <row r="11" spans="1:15" s="33" customFormat="1" ht="9.9499999999999993" customHeight="1">
      <c r="A11" s="1471"/>
      <c r="B11" s="1468" t="s">
        <v>330</v>
      </c>
      <c r="C11" s="1469" t="s">
        <v>78</v>
      </c>
      <c r="D11" s="919">
        <v>3.88</v>
      </c>
      <c r="E11" s="919">
        <v>2.94</v>
      </c>
      <c r="F11" s="1472">
        <v>3</v>
      </c>
      <c r="G11" s="1472">
        <v>5.6</v>
      </c>
      <c r="H11" s="919">
        <v>1.54</v>
      </c>
      <c r="I11" s="919">
        <v>5.4399999999999995</v>
      </c>
      <c r="J11" s="919">
        <v>3.59</v>
      </c>
      <c r="K11" s="1472">
        <v>4.16</v>
      </c>
      <c r="L11" s="1472">
        <v>2.7</v>
      </c>
      <c r="M11" s="1472">
        <v>3.5</v>
      </c>
      <c r="O11" s="1449"/>
    </row>
    <row r="12" spans="1:15" s="170" customFormat="1" ht="10.5" customHeight="1">
      <c r="A12" s="169" t="s">
        <v>634</v>
      </c>
      <c r="B12" s="2272" t="s">
        <v>672</v>
      </c>
      <c r="C12" s="2272"/>
      <c r="D12" s="1450"/>
      <c r="E12" s="1451"/>
      <c r="F12" s="1452"/>
      <c r="G12" s="1452"/>
      <c r="H12" s="1451"/>
      <c r="I12" s="1451"/>
      <c r="J12" s="1451"/>
      <c r="K12" s="1452"/>
      <c r="L12" s="1452"/>
      <c r="M12" s="1453"/>
      <c r="O12" s="1449"/>
    </row>
    <row r="13" spans="1:15" s="33" customFormat="1" ht="9.9499999999999993" customHeight="1">
      <c r="A13" s="1473"/>
      <c r="B13" s="1468" t="s">
        <v>663</v>
      </c>
      <c r="C13" s="1468" t="s">
        <v>673</v>
      </c>
      <c r="D13" s="919" t="s">
        <v>305</v>
      </c>
      <c r="E13" s="919">
        <v>4.82</v>
      </c>
      <c r="F13" s="1472" t="s">
        <v>305</v>
      </c>
      <c r="G13" s="1472">
        <v>5.6</v>
      </c>
      <c r="H13" s="919" t="s">
        <v>305</v>
      </c>
      <c r="I13" s="919" t="s">
        <v>305</v>
      </c>
      <c r="J13" s="1472" t="s">
        <v>305</v>
      </c>
      <c r="K13" s="1472" t="s">
        <v>305</v>
      </c>
      <c r="L13" s="1472">
        <v>2.93</v>
      </c>
      <c r="M13" s="1472" t="s">
        <v>305</v>
      </c>
      <c r="O13" s="1449"/>
    </row>
    <row r="14" spans="1:15" s="33" customFormat="1" ht="9.9499999999999993" customHeight="1">
      <c r="A14" s="1474"/>
      <c r="B14" s="267" t="s">
        <v>665</v>
      </c>
      <c r="C14" s="267" t="s">
        <v>674</v>
      </c>
      <c r="D14" s="1470" t="s">
        <v>305</v>
      </c>
      <c r="E14" s="1470">
        <v>4.82</v>
      </c>
      <c r="F14" s="1452" t="s">
        <v>305</v>
      </c>
      <c r="G14" s="1452" t="s">
        <v>305</v>
      </c>
      <c r="H14" s="1470" t="s">
        <v>305</v>
      </c>
      <c r="I14" s="1470">
        <v>8.61</v>
      </c>
      <c r="J14" s="1470" t="s">
        <v>305</v>
      </c>
      <c r="K14" s="1452" t="s">
        <v>305</v>
      </c>
      <c r="L14" s="1452">
        <v>2.82</v>
      </c>
      <c r="M14" s="1452" t="s">
        <v>305</v>
      </c>
      <c r="O14" s="1449"/>
    </row>
    <row r="15" spans="1:15" s="33" customFormat="1" ht="9.9499999999999993" customHeight="1">
      <c r="A15" s="1473"/>
      <c r="B15" s="1468" t="s">
        <v>667</v>
      </c>
      <c r="C15" s="1468" t="s">
        <v>249</v>
      </c>
      <c r="D15" s="919" t="s">
        <v>305</v>
      </c>
      <c r="E15" s="919">
        <v>4.82</v>
      </c>
      <c r="F15" s="1472" t="s">
        <v>305</v>
      </c>
      <c r="G15" s="1472" t="s">
        <v>305</v>
      </c>
      <c r="H15" s="919" t="s">
        <v>305</v>
      </c>
      <c r="I15" s="919" t="s">
        <v>305</v>
      </c>
      <c r="J15" s="1472" t="s">
        <v>305</v>
      </c>
      <c r="K15" s="1472">
        <v>4.26</v>
      </c>
      <c r="L15" s="1472" t="s">
        <v>305</v>
      </c>
      <c r="M15" s="1472" t="s">
        <v>305</v>
      </c>
      <c r="O15" s="1449"/>
    </row>
    <row r="16" spans="1:15" s="33" customFormat="1" ht="9.9499999999999993" customHeight="1">
      <c r="A16" s="380"/>
      <c r="B16" s="2219" t="s">
        <v>977</v>
      </c>
      <c r="C16" s="2219"/>
      <c r="D16" s="703"/>
      <c r="E16" s="1453"/>
      <c r="F16" s="1453"/>
      <c r="G16" s="1453"/>
      <c r="H16" s="703"/>
      <c r="I16" s="703"/>
      <c r="J16" s="1453"/>
      <c r="K16" s="1453"/>
      <c r="L16" s="1453"/>
      <c r="M16" s="1453"/>
      <c r="O16" s="1449"/>
    </row>
    <row r="17" spans="1:15" s="33" customFormat="1" ht="9.9499999999999993" customHeight="1">
      <c r="A17" s="1473"/>
      <c r="B17" s="353" t="s">
        <v>331</v>
      </c>
      <c r="C17" s="1468" t="s">
        <v>664</v>
      </c>
      <c r="D17" s="919" t="s">
        <v>305</v>
      </c>
      <c r="E17" s="919">
        <v>4.82</v>
      </c>
      <c r="F17" s="1472" t="s">
        <v>305</v>
      </c>
      <c r="G17" s="1472" t="s">
        <v>305</v>
      </c>
      <c r="H17" s="919" t="s">
        <v>305</v>
      </c>
      <c r="I17" s="919" t="s">
        <v>305</v>
      </c>
      <c r="J17" s="1472" t="s">
        <v>305</v>
      </c>
      <c r="K17" s="1472" t="s">
        <v>305</v>
      </c>
      <c r="L17" s="1472" t="s">
        <v>305</v>
      </c>
      <c r="M17" s="1472">
        <v>7.5</v>
      </c>
      <c r="O17" s="1449"/>
    </row>
    <row r="18" spans="1:15" s="33" customFormat="1" ht="9.9499999999999993" customHeight="1">
      <c r="A18" s="1474"/>
      <c r="B18" s="668" t="s">
        <v>514</v>
      </c>
      <c r="C18" s="267" t="s">
        <v>98</v>
      </c>
      <c r="D18" s="1470">
        <v>5.29</v>
      </c>
      <c r="E18" s="1470">
        <v>4.82</v>
      </c>
      <c r="F18" s="1452" t="s">
        <v>305</v>
      </c>
      <c r="G18" s="1452" t="s">
        <v>305</v>
      </c>
      <c r="H18" s="1470" t="s">
        <v>305</v>
      </c>
      <c r="I18" s="1470" t="s">
        <v>305</v>
      </c>
      <c r="J18" s="1453" t="s">
        <v>305</v>
      </c>
      <c r="K18" s="1452" t="s">
        <v>305</v>
      </c>
      <c r="L18" s="1452" t="s">
        <v>305</v>
      </c>
      <c r="M18" s="1452">
        <v>7.5</v>
      </c>
      <c r="O18" s="1449"/>
    </row>
    <row r="19" spans="1:15" s="33" customFormat="1" ht="9.9499999999999993" customHeight="1">
      <c r="A19" s="1473"/>
      <c r="B19" s="353" t="s">
        <v>308</v>
      </c>
      <c r="C19" s="1468" t="s">
        <v>99</v>
      </c>
      <c r="D19" s="919">
        <v>5.91</v>
      </c>
      <c r="E19" s="919">
        <v>4.82</v>
      </c>
      <c r="F19" s="1472" t="s">
        <v>305</v>
      </c>
      <c r="G19" s="1472" t="s">
        <v>305</v>
      </c>
      <c r="H19" s="919" t="s">
        <v>305</v>
      </c>
      <c r="I19" s="919" t="s">
        <v>305</v>
      </c>
      <c r="J19" s="1472" t="s">
        <v>305</v>
      </c>
      <c r="K19" s="1472" t="s">
        <v>305</v>
      </c>
      <c r="L19" s="1472" t="s">
        <v>305</v>
      </c>
      <c r="M19" s="1472">
        <v>7.5</v>
      </c>
      <c r="O19" s="1449"/>
    </row>
    <row r="20" spans="1:15" s="33" customFormat="1" ht="9.9499999999999993" customHeight="1">
      <c r="A20" s="1474"/>
      <c r="B20" s="71" t="s">
        <v>397</v>
      </c>
      <c r="C20" s="71" t="s">
        <v>398</v>
      </c>
      <c r="D20" s="1452"/>
      <c r="E20" s="1452"/>
      <c r="F20" s="1452"/>
      <c r="G20" s="1452"/>
      <c r="H20" s="1475"/>
      <c r="I20" s="1475"/>
      <c r="J20" s="1453"/>
      <c r="K20" s="1452"/>
      <c r="L20" s="1452"/>
      <c r="M20" s="1452"/>
      <c r="O20" s="1449"/>
    </row>
    <row r="21" spans="1:15" s="33" customFormat="1" ht="9.9499999999999993" customHeight="1">
      <c r="A21" s="1473"/>
      <c r="B21" s="353" t="s">
        <v>331</v>
      </c>
      <c r="C21" s="1468" t="s">
        <v>100</v>
      </c>
      <c r="D21" s="1472" t="s">
        <v>305</v>
      </c>
      <c r="E21" s="919">
        <v>4.82</v>
      </c>
      <c r="F21" s="1472">
        <v>7</v>
      </c>
      <c r="G21" s="1472" t="s">
        <v>305</v>
      </c>
      <c r="H21" s="919">
        <v>5.9799999999999995</v>
      </c>
      <c r="I21" s="919">
        <v>11.04</v>
      </c>
      <c r="J21" s="919">
        <v>5.58</v>
      </c>
      <c r="K21" s="1472">
        <v>9.73</v>
      </c>
      <c r="L21" s="1472">
        <v>6.45</v>
      </c>
      <c r="M21" s="1472">
        <v>7.32</v>
      </c>
      <c r="O21" s="1449"/>
    </row>
    <row r="22" spans="1:15" s="33" customFormat="1" ht="9.9499999999999993" customHeight="1">
      <c r="A22" s="1474"/>
      <c r="B22" s="668" t="s">
        <v>514</v>
      </c>
      <c r="C22" s="267" t="s">
        <v>101</v>
      </c>
      <c r="D22" s="1452" t="s">
        <v>305</v>
      </c>
      <c r="E22" s="1470">
        <v>4.82</v>
      </c>
      <c r="F22" s="1452" t="s">
        <v>305</v>
      </c>
      <c r="G22" s="1452" t="s">
        <v>305</v>
      </c>
      <c r="H22" s="1470">
        <v>6.17</v>
      </c>
      <c r="I22" s="1470" t="s">
        <v>305</v>
      </c>
      <c r="J22" s="1470">
        <v>5.67</v>
      </c>
      <c r="K22" s="1452">
        <v>9.33</v>
      </c>
      <c r="L22" s="1452" t="s">
        <v>305</v>
      </c>
      <c r="M22" s="1452" t="s">
        <v>305</v>
      </c>
      <c r="O22" s="1449"/>
    </row>
    <row r="23" spans="1:15" s="33" customFormat="1" ht="9.9499999999999993" customHeight="1">
      <c r="A23" s="1473"/>
      <c r="B23" s="1468" t="s">
        <v>399</v>
      </c>
      <c r="C23" s="1469" t="s">
        <v>400</v>
      </c>
      <c r="D23" s="1472"/>
      <c r="E23" s="1472"/>
      <c r="F23" s="1472"/>
      <c r="G23" s="1472"/>
      <c r="H23" s="919"/>
      <c r="I23" s="919"/>
      <c r="J23" s="919"/>
      <c r="K23" s="1472"/>
      <c r="L23" s="1472"/>
      <c r="M23" s="1472"/>
      <c r="O23" s="1449"/>
    </row>
    <row r="24" spans="1:15" s="33" customFormat="1" ht="9.9499999999999993" customHeight="1">
      <c r="A24" s="1474"/>
      <c r="B24" s="668" t="s">
        <v>389</v>
      </c>
      <c r="C24" s="71" t="s">
        <v>388</v>
      </c>
      <c r="D24" s="1452" t="s">
        <v>305</v>
      </c>
      <c r="E24" s="1470">
        <v>4.82</v>
      </c>
      <c r="F24" s="1452">
        <v>6.5</v>
      </c>
      <c r="G24" s="1452" t="s">
        <v>305</v>
      </c>
      <c r="H24" s="1470">
        <v>6.08</v>
      </c>
      <c r="I24" s="1470">
        <v>9.2100000000000009</v>
      </c>
      <c r="J24" s="1470">
        <v>5.8</v>
      </c>
      <c r="K24" s="1452">
        <v>9.0300000000000011</v>
      </c>
      <c r="L24" s="1452">
        <v>6</v>
      </c>
      <c r="M24" s="1452">
        <v>7.5</v>
      </c>
      <c r="O24" s="1449"/>
    </row>
    <row r="25" spans="1:15" s="33" customFormat="1" ht="10.5" customHeight="1">
      <c r="A25" s="1473"/>
      <c r="B25" s="353" t="s">
        <v>390</v>
      </c>
      <c r="C25" s="1469" t="s">
        <v>391</v>
      </c>
      <c r="D25" s="1472" t="s">
        <v>305</v>
      </c>
      <c r="E25" s="919">
        <v>4.82</v>
      </c>
      <c r="F25" s="1472">
        <v>6.5</v>
      </c>
      <c r="G25" s="1472" t="s">
        <v>305</v>
      </c>
      <c r="H25" s="919">
        <v>6.17</v>
      </c>
      <c r="I25" s="919" t="s">
        <v>305</v>
      </c>
      <c r="J25" s="919">
        <v>5.84</v>
      </c>
      <c r="K25" s="1472" t="s">
        <v>305</v>
      </c>
      <c r="L25" s="1472">
        <v>6.1</v>
      </c>
      <c r="M25" s="1472">
        <v>7.5</v>
      </c>
      <c r="O25" s="1449"/>
    </row>
    <row r="26" spans="1:15" s="33" customFormat="1" ht="9.9499999999999993" customHeight="1">
      <c r="A26" s="1474"/>
      <c r="B26" s="668" t="s">
        <v>306</v>
      </c>
      <c r="C26" s="71" t="s">
        <v>392</v>
      </c>
      <c r="D26" s="1452" t="s">
        <v>305</v>
      </c>
      <c r="E26" s="1470">
        <v>4.82</v>
      </c>
      <c r="F26" s="1452" t="s">
        <v>305</v>
      </c>
      <c r="G26" s="1452" t="s">
        <v>305</v>
      </c>
      <c r="H26" s="1470">
        <v>7.4300000000000006</v>
      </c>
      <c r="I26" s="1470" t="s">
        <v>305</v>
      </c>
      <c r="J26" s="1470" t="s">
        <v>305</v>
      </c>
      <c r="K26" s="1452" t="s">
        <v>305</v>
      </c>
      <c r="L26" s="1452">
        <v>6.2</v>
      </c>
      <c r="M26" s="1452">
        <v>7.5</v>
      </c>
      <c r="O26" s="1449"/>
    </row>
    <row r="27" spans="1:15" s="33" customFormat="1" ht="9.9499999999999993" customHeight="1">
      <c r="A27" s="1473"/>
      <c r="B27" s="353" t="s">
        <v>307</v>
      </c>
      <c r="C27" s="1469" t="s">
        <v>393</v>
      </c>
      <c r="D27" s="1472" t="s">
        <v>305</v>
      </c>
      <c r="E27" s="919">
        <v>4.82</v>
      </c>
      <c r="F27" s="1472" t="s">
        <v>305</v>
      </c>
      <c r="G27" s="1472" t="s">
        <v>305</v>
      </c>
      <c r="H27" s="919">
        <v>7.4300000000000006</v>
      </c>
      <c r="I27" s="919" t="s">
        <v>305</v>
      </c>
      <c r="J27" s="919" t="s">
        <v>305</v>
      </c>
      <c r="K27" s="1472" t="s">
        <v>305</v>
      </c>
      <c r="L27" s="1472" t="s">
        <v>305</v>
      </c>
      <c r="M27" s="1472">
        <v>7.5</v>
      </c>
      <c r="O27" s="1449"/>
    </row>
    <row r="28" spans="1:15" s="33" customFormat="1" ht="10.5" customHeight="1">
      <c r="A28" s="1474"/>
      <c r="B28" s="267" t="s">
        <v>386</v>
      </c>
      <c r="C28" s="1476" t="s">
        <v>387</v>
      </c>
      <c r="D28" s="1452"/>
      <c r="E28" s="1452"/>
      <c r="F28" s="1453"/>
      <c r="G28" s="1452"/>
      <c r="H28" s="1470"/>
      <c r="I28" s="1470"/>
      <c r="J28" s="1470"/>
      <c r="K28" s="1452"/>
      <c r="L28" s="1452"/>
      <c r="M28" s="1452"/>
      <c r="O28" s="1449"/>
    </row>
    <row r="29" spans="1:15" s="33" customFormat="1" ht="9.9499999999999993" customHeight="1">
      <c r="A29" s="1473"/>
      <c r="B29" s="353" t="s">
        <v>331</v>
      </c>
      <c r="C29" s="1010" t="s">
        <v>664</v>
      </c>
      <c r="D29" s="1472">
        <v>5.0999999999999996</v>
      </c>
      <c r="E29" s="1472" t="s">
        <v>305</v>
      </c>
      <c r="F29" s="1472">
        <v>6.5</v>
      </c>
      <c r="G29" s="1472" t="s">
        <v>305</v>
      </c>
      <c r="H29" s="919">
        <v>5.79</v>
      </c>
      <c r="I29" s="919" t="s">
        <v>305</v>
      </c>
      <c r="J29" s="919">
        <v>5.58</v>
      </c>
      <c r="K29" s="1472" t="s">
        <v>305</v>
      </c>
      <c r="L29" s="1472" t="s">
        <v>305</v>
      </c>
      <c r="M29" s="1472" t="s">
        <v>305</v>
      </c>
      <c r="O29" s="1449"/>
    </row>
    <row r="30" spans="1:15" s="243" customFormat="1" ht="9.9499999999999993" customHeight="1">
      <c r="A30" s="380"/>
      <c r="B30" s="283" t="s">
        <v>390</v>
      </c>
      <c r="C30" s="282" t="s">
        <v>98</v>
      </c>
      <c r="D30" s="703">
        <v>5.25</v>
      </c>
      <c r="E30" s="703">
        <v>4.82</v>
      </c>
      <c r="F30" s="1453">
        <v>6.75</v>
      </c>
      <c r="G30" s="1453" t="s">
        <v>305</v>
      </c>
      <c r="H30" s="703">
        <v>5.88</v>
      </c>
      <c r="I30" s="703" t="s">
        <v>305</v>
      </c>
      <c r="J30" s="703">
        <v>5.67</v>
      </c>
      <c r="K30" s="1453" t="s">
        <v>305</v>
      </c>
      <c r="L30" s="1453">
        <v>5.28</v>
      </c>
      <c r="M30" s="1453">
        <v>7.5</v>
      </c>
      <c r="O30" s="1449"/>
    </row>
    <row r="31" spans="1:15" s="243" customFormat="1" ht="9.9499999999999993" customHeight="1">
      <c r="A31" s="1473"/>
      <c r="B31" s="353" t="s">
        <v>306</v>
      </c>
      <c r="C31" s="1469" t="s">
        <v>99</v>
      </c>
      <c r="D31" s="919" t="s">
        <v>305</v>
      </c>
      <c r="E31" s="919">
        <v>4.82</v>
      </c>
      <c r="F31" s="1472" t="s">
        <v>305</v>
      </c>
      <c r="G31" s="1472" t="s">
        <v>305</v>
      </c>
      <c r="H31" s="919">
        <v>5.9799999999999995</v>
      </c>
      <c r="I31" s="919" t="s">
        <v>305</v>
      </c>
      <c r="J31" s="919">
        <v>5.54</v>
      </c>
      <c r="K31" s="1472" t="s">
        <v>305</v>
      </c>
      <c r="L31" s="1472">
        <v>5.5</v>
      </c>
      <c r="M31" s="1472">
        <v>7.5</v>
      </c>
      <c r="O31" s="1449"/>
    </row>
    <row r="32" spans="1:15" s="243" customFormat="1" ht="9.9499999999999993" customHeight="1">
      <c r="A32" s="380"/>
      <c r="B32" s="283" t="s">
        <v>307</v>
      </c>
      <c r="C32" s="282" t="s">
        <v>394</v>
      </c>
      <c r="D32" s="703">
        <v>5.91</v>
      </c>
      <c r="E32" s="703">
        <v>4.82</v>
      </c>
      <c r="F32" s="1453">
        <v>7</v>
      </c>
      <c r="G32" s="1453" t="s">
        <v>305</v>
      </c>
      <c r="H32" s="703">
        <v>6.08</v>
      </c>
      <c r="I32" s="703">
        <v>9.48</v>
      </c>
      <c r="J32" s="703">
        <v>5.54</v>
      </c>
      <c r="K32" s="1453">
        <v>8.73</v>
      </c>
      <c r="L32" s="1453">
        <v>5.8000000000000007</v>
      </c>
      <c r="M32" s="1453">
        <v>7.5</v>
      </c>
      <c r="O32" s="1449"/>
    </row>
    <row r="33" spans="1:16" s="243" customFormat="1" ht="9.9499999999999993" customHeight="1">
      <c r="A33" s="1473"/>
      <c r="B33" s="353" t="s">
        <v>2447</v>
      </c>
      <c r="C33" s="1469" t="s">
        <v>388</v>
      </c>
      <c r="D33" s="1472" t="s">
        <v>305</v>
      </c>
      <c r="E33" s="919" t="s">
        <v>305</v>
      </c>
      <c r="F33" s="1472" t="s">
        <v>305</v>
      </c>
      <c r="G33" s="1472" t="s">
        <v>305</v>
      </c>
      <c r="H33" s="919" t="s">
        <v>305</v>
      </c>
      <c r="I33" s="919" t="s">
        <v>305</v>
      </c>
      <c r="J33" s="919">
        <v>5.5</v>
      </c>
      <c r="K33" s="1472" t="s">
        <v>305</v>
      </c>
      <c r="L33" s="1472" t="s">
        <v>305</v>
      </c>
      <c r="M33" s="1472">
        <v>7.5</v>
      </c>
      <c r="O33" s="1449"/>
    </row>
    <row r="34" spans="1:16" s="243" customFormat="1" ht="9.9499999999999993" customHeight="1">
      <c r="A34" s="380"/>
      <c r="B34" s="1467" t="s">
        <v>396</v>
      </c>
      <c r="C34" s="282" t="s">
        <v>819</v>
      </c>
      <c r="D34" s="1453">
        <v>2.93</v>
      </c>
      <c r="E34" s="1453" t="s">
        <v>305</v>
      </c>
      <c r="F34" s="1453">
        <v>6.5</v>
      </c>
      <c r="G34" s="1453" t="s">
        <v>305</v>
      </c>
      <c r="H34" s="703">
        <v>7.91</v>
      </c>
      <c r="I34" s="703" t="s">
        <v>305</v>
      </c>
      <c r="J34" s="703">
        <v>4.93</v>
      </c>
      <c r="K34" s="1453">
        <v>7.23</v>
      </c>
      <c r="L34" s="1453">
        <v>2.93</v>
      </c>
      <c r="M34" s="1453">
        <v>4</v>
      </c>
      <c r="O34" s="1449"/>
    </row>
    <row r="35" spans="1:16" s="243" customFormat="1" ht="10.5" customHeight="1">
      <c r="A35" s="1473"/>
      <c r="B35" s="1468" t="s">
        <v>331</v>
      </c>
      <c r="C35" s="1468" t="s">
        <v>102</v>
      </c>
      <c r="D35" s="1472" t="s">
        <v>305</v>
      </c>
      <c r="E35" s="1472" t="s">
        <v>305</v>
      </c>
      <c r="F35" s="1472" t="s">
        <v>305</v>
      </c>
      <c r="G35" s="1472" t="s">
        <v>305</v>
      </c>
      <c r="H35" s="919" t="s">
        <v>305</v>
      </c>
      <c r="I35" s="919" t="s">
        <v>305</v>
      </c>
      <c r="J35" s="919" t="s">
        <v>305</v>
      </c>
      <c r="K35" s="1472" t="s">
        <v>305</v>
      </c>
      <c r="L35" s="1472">
        <v>3.34</v>
      </c>
      <c r="M35" s="1472">
        <v>3</v>
      </c>
      <c r="O35" s="1449"/>
    </row>
    <row r="36" spans="1:16" s="243" customFormat="1" ht="9.9499999999999993" customHeight="1">
      <c r="A36" s="380"/>
      <c r="B36" s="1467" t="s">
        <v>332</v>
      </c>
      <c r="C36" s="1467" t="s">
        <v>103</v>
      </c>
      <c r="D36" s="1453" t="s">
        <v>305</v>
      </c>
      <c r="E36" s="1453" t="s">
        <v>305</v>
      </c>
      <c r="F36" s="1453" t="s">
        <v>305</v>
      </c>
      <c r="G36" s="1453" t="s">
        <v>305</v>
      </c>
      <c r="H36" s="703" t="s">
        <v>305</v>
      </c>
      <c r="I36" s="703" t="s">
        <v>305</v>
      </c>
      <c r="J36" s="703">
        <v>5.32</v>
      </c>
      <c r="K36" s="1453" t="s">
        <v>305</v>
      </c>
      <c r="L36" s="1453">
        <v>3.81</v>
      </c>
      <c r="M36" s="1453">
        <v>3</v>
      </c>
      <c r="O36" s="1449"/>
    </row>
    <row r="37" spans="1:16" s="243" customFormat="1" ht="9.9499999999999993" customHeight="1">
      <c r="A37" s="1473"/>
      <c r="B37" s="1468" t="s">
        <v>333</v>
      </c>
      <c r="C37" s="1468" t="s">
        <v>104</v>
      </c>
      <c r="D37" s="1472" t="s">
        <v>305</v>
      </c>
      <c r="E37" s="1472" t="s">
        <v>305</v>
      </c>
      <c r="F37" s="1472" t="s">
        <v>305</v>
      </c>
      <c r="G37" s="1472" t="s">
        <v>305</v>
      </c>
      <c r="H37" s="919" t="s">
        <v>305</v>
      </c>
      <c r="I37" s="919" t="s">
        <v>305</v>
      </c>
      <c r="J37" s="919">
        <v>5.0599999999999996</v>
      </c>
      <c r="K37" s="1472" t="s">
        <v>305</v>
      </c>
      <c r="L37" s="1472">
        <v>2.93</v>
      </c>
      <c r="M37" s="1472">
        <v>3</v>
      </c>
      <c r="O37" s="1449"/>
    </row>
    <row r="38" spans="1:16" s="243" customFormat="1" ht="9.9499999999999993" customHeight="1">
      <c r="A38" s="380"/>
      <c r="B38" s="1467" t="s">
        <v>334</v>
      </c>
      <c r="C38" s="1467" t="s">
        <v>105</v>
      </c>
      <c r="D38" s="1453" t="s">
        <v>305</v>
      </c>
      <c r="E38" s="1453" t="s">
        <v>305</v>
      </c>
      <c r="F38" s="1453" t="s">
        <v>305</v>
      </c>
      <c r="G38" s="1453" t="s">
        <v>305</v>
      </c>
      <c r="H38" s="703" t="s">
        <v>305</v>
      </c>
      <c r="I38" s="703" t="s">
        <v>305</v>
      </c>
      <c r="J38" s="703" t="s">
        <v>305</v>
      </c>
      <c r="K38" s="1453" t="s">
        <v>305</v>
      </c>
      <c r="L38" s="1453">
        <v>2.93</v>
      </c>
      <c r="M38" s="1453">
        <v>3</v>
      </c>
      <c r="O38" s="1449"/>
    </row>
    <row r="39" spans="1:16" s="243" customFormat="1" ht="9.9499999999999993" customHeight="1">
      <c r="A39" s="1473"/>
      <c r="B39" s="1468" t="s">
        <v>335</v>
      </c>
      <c r="C39" s="1468" t="s">
        <v>106</v>
      </c>
      <c r="D39" s="1472" t="s">
        <v>305</v>
      </c>
      <c r="E39" s="919">
        <v>4.82</v>
      </c>
      <c r="F39" s="1472">
        <v>6.5</v>
      </c>
      <c r="G39" s="1472" t="s">
        <v>305</v>
      </c>
      <c r="H39" s="919" t="s">
        <v>305</v>
      </c>
      <c r="I39" s="919">
        <v>9.34</v>
      </c>
      <c r="J39" s="919" t="s">
        <v>305</v>
      </c>
      <c r="K39" s="1472" t="s">
        <v>305</v>
      </c>
      <c r="L39" s="1472">
        <v>5.86</v>
      </c>
      <c r="M39" s="1472">
        <v>7.5</v>
      </c>
      <c r="O39" s="1449"/>
    </row>
    <row r="40" spans="1:16" s="243" customFormat="1" ht="9.9499999999999993" customHeight="1">
      <c r="A40" s="380"/>
      <c r="B40" s="1467" t="s">
        <v>336</v>
      </c>
      <c r="C40" s="1467" t="s">
        <v>107</v>
      </c>
      <c r="D40" s="1453" t="s">
        <v>305</v>
      </c>
      <c r="E40" s="1453" t="s">
        <v>305</v>
      </c>
      <c r="F40" s="1453" t="s">
        <v>305</v>
      </c>
      <c r="G40" s="1453" t="s">
        <v>305</v>
      </c>
      <c r="H40" s="703" t="s">
        <v>305</v>
      </c>
      <c r="I40" s="703" t="s">
        <v>305</v>
      </c>
      <c r="J40" s="703" t="s">
        <v>305</v>
      </c>
      <c r="K40" s="1453" t="s">
        <v>305</v>
      </c>
      <c r="L40" s="1453">
        <v>5.57</v>
      </c>
      <c r="M40" s="1453">
        <v>7.5</v>
      </c>
      <c r="O40" s="1449"/>
    </row>
    <row r="41" spans="1:16" s="243" customFormat="1" ht="9.9499999999999993" customHeight="1">
      <c r="A41" s="1473"/>
      <c r="B41" s="1468" t="s">
        <v>337</v>
      </c>
      <c r="C41" s="1468" t="s">
        <v>108</v>
      </c>
      <c r="D41" s="1472" t="s">
        <v>305</v>
      </c>
      <c r="E41" s="1472" t="s">
        <v>305</v>
      </c>
      <c r="F41" s="1472">
        <v>6.5</v>
      </c>
      <c r="G41" s="1472">
        <v>5.25</v>
      </c>
      <c r="H41" s="919">
        <v>7.4300000000000006</v>
      </c>
      <c r="I41" s="919" t="s">
        <v>305</v>
      </c>
      <c r="J41" s="919">
        <v>5.8</v>
      </c>
      <c r="K41" s="1472" t="s">
        <v>305</v>
      </c>
      <c r="L41" s="1472">
        <v>5.86</v>
      </c>
      <c r="M41" s="1472">
        <v>4</v>
      </c>
      <c r="O41" s="1449"/>
      <c r="P41" s="308"/>
    </row>
    <row r="42" spans="1:16" s="243" customFormat="1" ht="9.9499999999999993" customHeight="1">
      <c r="A42" s="1467"/>
      <c r="B42" s="1467" t="s">
        <v>338</v>
      </c>
      <c r="C42" s="1467" t="s">
        <v>109</v>
      </c>
      <c r="D42" s="1453" t="s">
        <v>305</v>
      </c>
      <c r="E42" s="1453" t="s">
        <v>305</v>
      </c>
      <c r="F42" s="1453">
        <v>3.75</v>
      </c>
      <c r="G42" s="1453">
        <v>5.25</v>
      </c>
      <c r="H42" s="703" t="s">
        <v>305</v>
      </c>
      <c r="I42" s="703" t="s">
        <v>305</v>
      </c>
      <c r="J42" s="703" t="s">
        <v>305</v>
      </c>
      <c r="K42" s="1453" t="s">
        <v>305</v>
      </c>
      <c r="L42" s="1453">
        <v>5.5</v>
      </c>
      <c r="M42" s="1453">
        <v>3</v>
      </c>
      <c r="O42" s="1449"/>
    </row>
    <row r="43" spans="1:16" s="243" customFormat="1" ht="9.9499999999999993" customHeight="1">
      <c r="A43" s="1468"/>
      <c r="B43" s="1468" t="s">
        <v>501</v>
      </c>
      <c r="C43" s="1468" t="s">
        <v>502</v>
      </c>
      <c r="D43" s="919">
        <v>5.91</v>
      </c>
      <c r="E43" s="919">
        <v>4.82</v>
      </c>
      <c r="F43" s="1472">
        <v>6.5</v>
      </c>
      <c r="G43" s="1472" t="s">
        <v>305</v>
      </c>
      <c r="H43" s="919" t="s">
        <v>305</v>
      </c>
      <c r="I43" s="919">
        <v>8.7099999999999991</v>
      </c>
      <c r="J43" s="919">
        <v>5.54</v>
      </c>
      <c r="K43" s="1472" t="s">
        <v>305</v>
      </c>
      <c r="L43" s="1472" t="s">
        <v>305</v>
      </c>
      <c r="M43" s="1472">
        <v>7.5</v>
      </c>
      <c r="O43" s="1449"/>
    </row>
    <row r="44" spans="1:16" s="243" customFormat="1" ht="9.9499999999999993" customHeight="1">
      <c r="A44" s="1467"/>
      <c r="B44" s="1467" t="s">
        <v>503</v>
      </c>
      <c r="C44" s="1467" t="s">
        <v>505</v>
      </c>
      <c r="D44" s="703">
        <v>5.2</v>
      </c>
      <c r="E44" s="703">
        <v>4.82</v>
      </c>
      <c r="F44" s="1453">
        <v>6.25</v>
      </c>
      <c r="G44" s="1453" t="s">
        <v>305</v>
      </c>
      <c r="H44" s="703" t="s">
        <v>305</v>
      </c>
      <c r="I44" s="703">
        <v>7.62</v>
      </c>
      <c r="J44" s="703">
        <v>5.67</v>
      </c>
      <c r="K44" s="1453" t="s">
        <v>305</v>
      </c>
      <c r="L44" s="1453" t="s">
        <v>305</v>
      </c>
      <c r="M44" s="1453">
        <v>7.5</v>
      </c>
      <c r="O44" s="1449"/>
    </row>
    <row r="45" spans="1:16" s="243" customFormat="1" ht="9.9499999999999993" customHeight="1">
      <c r="A45" s="1468"/>
      <c r="B45" s="1468" t="s">
        <v>506</v>
      </c>
      <c r="C45" s="1457" t="s">
        <v>2161</v>
      </c>
      <c r="D45" s="919" t="s">
        <v>305</v>
      </c>
      <c r="E45" s="919">
        <v>4.82</v>
      </c>
      <c r="F45" s="1472" t="s">
        <v>305</v>
      </c>
      <c r="G45" s="1472" t="s">
        <v>305</v>
      </c>
      <c r="H45" s="919" t="s">
        <v>305</v>
      </c>
      <c r="I45" s="919">
        <v>9.09</v>
      </c>
      <c r="J45" s="919" t="s">
        <v>305</v>
      </c>
      <c r="K45" s="1472">
        <v>6.25</v>
      </c>
      <c r="L45" s="1472">
        <v>5.86</v>
      </c>
      <c r="M45" s="1472">
        <v>7.5</v>
      </c>
      <c r="O45" s="1449"/>
    </row>
    <row r="46" spans="1:16" s="243" customFormat="1" ht="9.9499999999999993" customHeight="1">
      <c r="A46" s="1467"/>
      <c r="B46" s="1467" t="s">
        <v>507</v>
      </c>
      <c r="C46" s="381" t="s">
        <v>820</v>
      </c>
      <c r="D46" s="703" t="s">
        <v>305</v>
      </c>
      <c r="E46" s="703">
        <v>4.82</v>
      </c>
      <c r="F46" s="1453" t="s">
        <v>305</v>
      </c>
      <c r="G46" s="1453" t="s">
        <v>305</v>
      </c>
      <c r="H46" s="703" t="s">
        <v>305</v>
      </c>
      <c r="I46" s="703" t="s">
        <v>305</v>
      </c>
      <c r="J46" s="703">
        <v>4.9800000000000004</v>
      </c>
      <c r="K46" s="1453">
        <v>6.25</v>
      </c>
      <c r="L46" s="1453">
        <v>5.57</v>
      </c>
      <c r="M46" s="1453">
        <v>7</v>
      </c>
      <c r="O46" s="1449"/>
    </row>
    <row r="47" spans="1:16" s="243" customFormat="1" ht="9.9499999999999993" customHeight="1">
      <c r="A47" s="1468"/>
      <c r="B47" s="1468" t="s">
        <v>288</v>
      </c>
      <c r="C47" s="1457" t="s">
        <v>821</v>
      </c>
      <c r="D47" s="919" t="s">
        <v>305</v>
      </c>
      <c r="E47" s="919">
        <v>4.82</v>
      </c>
      <c r="F47" s="782" t="s">
        <v>305</v>
      </c>
      <c r="G47" s="782" t="s">
        <v>305</v>
      </c>
      <c r="H47" s="919">
        <v>3.7600000000000002</v>
      </c>
      <c r="I47" s="919" t="s">
        <v>305</v>
      </c>
      <c r="J47" s="919">
        <v>4.9800000000000004</v>
      </c>
      <c r="K47" s="782">
        <v>6.25</v>
      </c>
      <c r="L47" s="782">
        <v>5.28</v>
      </c>
      <c r="M47" s="782">
        <v>6.5</v>
      </c>
      <c r="O47" s="1449"/>
    </row>
    <row r="48" spans="1:16" s="243" customFormat="1" ht="9.9499999999999993" customHeight="1">
      <c r="A48" s="1467"/>
      <c r="B48" s="1467" t="s">
        <v>329</v>
      </c>
      <c r="C48" s="1467" t="s">
        <v>289</v>
      </c>
      <c r="D48" s="1453" t="s">
        <v>305</v>
      </c>
      <c r="E48" s="703">
        <v>4.82</v>
      </c>
      <c r="F48" s="1453">
        <v>6</v>
      </c>
      <c r="G48" s="1453" t="s">
        <v>305</v>
      </c>
      <c r="H48" s="703" t="s">
        <v>305</v>
      </c>
      <c r="I48" s="703">
        <v>8.4</v>
      </c>
      <c r="J48" s="703" t="s">
        <v>305</v>
      </c>
      <c r="K48" s="1453">
        <v>8.1</v>
      </c>
      <c r="L48" s="1453">
        <v>5.57</v>
      </c>
      <c r="M48" s="1453" t="s">
        <v>305</v>
      </c>
      <c r="O48" s="1449"/>
    </row>
    <row r="49" spans="1:16" s="243" customFormat="1" ht="9.9499999999999993" customHeight="1">
      <c r="A49" s="1468"/>
      <c r="B49" s="1468" t="s">
        <v>2448</v>
      </c>
      <c r="C49" s="1468" t="s">
        <v>2449</v>
      </c>
      <c r="D49" s="1472">
        <v>2.36</v>
      </c>
      <c r="E49" s="919" t="s">
        <v>305</v>
      </c>
      <c r="F49" s="1472">
        <v>4</v>
      </c>
      <c r="G49" s="1472" t="s">
        <v>305</v>
      </c>
      <c r="H49" s="919">
        <v>1.54</v>
      </c>
      <c r="I49" s="919" t="s">
        <v>305</v>
      </c>
      <c r="J49" s="919" t="s">
        <v>305</v>
      </c>
      <c r="K49" s="1472" t="s">
        <v>305</v>
      </c>
      <c r="L49" s="1472" t="s">
        <v>305</v>
      </c>
      <c r="M49" s="1472">
        <v>2.5</v>
      </c>
      <c r="O49" s="1449"/>
    </row>
    <row r="50" spans="1:16" s="288" customFormat="1" ht="9.9499999999999993" customHeight="1">
      <c r="A50" s="1477" t="s">
        <v>635</v>
      </c>
      <c r="B50" s="2269" t="s">
        <v>53</v>
      </c>
      <c r="C50" s="2269"/>
      <c r="D50" s="1453" t="s">
        <v>305</v>
      </c>
      <c r="E50" s="703">
        <v>1.8900000000000001</v>
      </c>
      <c r="F50" s="1453" t="s">
        <v>305</v>
      </c>
      <c r="G50" s="1453">
        <v>2.5</v>
      </c>
      <c r="H50" s="703" t="s">
        <v>305</v>
      </c>
      <c r="I50" s="703">
        <v>5.1499999999999995</v>
      </c>
      <c r="J50" s="703">
        <v>2.68</v>
      </c>
      <c r="K50" s="1453" t="s">
        <v>305</v>
      </c>
      <c r="L50" s="1453">
        <v>2.5</v>
      </c>
      <c r="M50" s="1453" t="s">
        <v>305</v>
      </c>
      <c r="O50" s="1449"/>
    </row>
    <row r="51" spans="1:16" s="243" customFormat="1" ht="9.9499999999999993" customHeight="1">
      <c r="A51" s="1471" t="s">
        <v>636</v>
      </c>
      <c r="B51" s="2270" t="s">
        <v>54</v>
      </c>
      <c r="C51" s="2270"/>
      <c r="D51" s="1472"/>
      <c r="E51" s="1472"/>
      <c r="F51" s="1472"/>
      <c r="G51" s="1472"/>
      <c r="H51" s="919"/>
      <c r="I51" s="919"/>
      <c r="J51" s="919"/>
      <c r="K51" s="1472"/>
      <c r="L51" s="1472"/>
      <c r="M51" s="1472"/>
      <c r="O51" s="1449"/>
    </row>
    <row r="52" spans="1:16" s="243" customFormat="1" ht="11.25" customHeight="1">
      <c r="A52" s="380"/>
      <c r="B52" s="1467" t="s">
        <v>663</v>
      </c>
      <c r="C52" s="1467" t="s">
        <v>250</v>
      </c>
      <c r="D52" s="1453"/>
      <c r="E52" s="1453"/>
      <c r="F52" s="1453"/>
      <c r="G52" s="1453"/>
      <c r="H52" s="703"/>
      <c r="I52" s="703"/>
      <c r="J52" s="703"/>
      <c r="K52" s="1453"/>
      <c r="L52" s="1453"/>
      <c r="M52" s="1453"/>
      <c r="O52" s="1449"/>
    </row>
    <row r="53" spans="1:16" s="243" customFormat="1" ht="9.9499999999999993" customHeight="1">
      <c r="A53" s="1473"/>
      <c r="B53" s="1468"/>
      <c r="C53" s="1468" t="s">
        <v>403</v>
      </c>
      <c r="D53" s="919">
        <v>5.91</v>
      </c>
      <c r="E53" s="919">
        <v>4.82</v>
      </c>
      <c r="F53" s="1472" t="s">
        <v>305</v>
      </c>
      <c r="G53" s="1472">
        <v>5.25</v>
      </c>
      <c r="H53" s="919">
        <v>5.5</v>
      </c>
      <c r="I53" s="919" t="s">
        <v>305</v>
      </c>
      <c r="J53" s="919" t="s">
        <v>305</v>
      </c>
      <c r="K53" s="1472">
        <v>9.65</v>
      </c>
      <c r="L53" s="1472">
        <v>5.86</v>
      </c>
      <c r="M53" s="1472">
        <v>7.5</v>
      </c>
      <c r="O53" s="1449"/>
      <c r="P53" s="1448"/>
    </row>
    <row r="54" spans="1:16" s="243" customFormat="1" ht="9.9499999999999993" customHeight="1">
      <c r="A54" s="380"/>
      <c r="B54" s="1467"/>
      <c r="C54" s="1467" t="s">
        <v>401</v>
      </c>
      <c r="D54" s="703">
        <v>6.18</v>
      </c>
      <c r="E54" s="703">
        <v>4.82</v>
      </c>
      <c r="F54" s="1453" t="s">
        <v>305</v>
      </c>
      <c r="G54" s="1453" t="s">
        <v>305</v>
      </c>
      <c r="H54" s="703" t="s">
        <v>305</v>
      </c>
      <c r="I54" s="703" t="s">
        <v>305</v>
      </c>
      <c r="J54" s="703" t="s">
        <v>305</v>
      </c>
      <c r="K54" s="1453" t="s">
        <v>305</v>
      </c>
      <c r="L54" s="1453">
        <v>6</v>
      </c>
      <c r="M54" s="1453">
        <v>7.5</v>
      </c>
      <c r="O54" s="1449"/>
    </row>
    <row r="55" spans="1:16" s="243" customFormat="1" ht="9.9499999999999993" customHeight="1">
      <c r="A55" s="1473"/>
      <c r="B55" s="1468"/>
      <c r="C55" s="1468" t="s">
        <v>402</v>
      </c>
      <c r="D55" s="1472" t="s">
        <v>305</v>
      </c>
      <c r="E55" s="919">
        <v>4.82</v>
      </c>
      <c r="F55" s="1472" t="s">
        <v>305</v>
      </c>
      <c r="G55" s="1472" t="s">
        <v>305</v>
      </c>
      <c r="H55" s="919" t="s">
        <v>305</v>
      </c>
      <c r="I55" s="919" t="s">
        <v>305</v>
      </c>
      <c r="J55" s="919" t="s">
        <v>305</v>
      </c>
      <c r="K55" s="1472" t="s">
        <v>305</v>
      </c>
      <c r="L55" s="1472">
        <v>4.6899999999999995</v>
      </c>
      <c r="M55" s="1472" t="s">
        <v>305</v>
      </c>
      <c r="O55" s="1449"/>
    </row>
    <row r="56" spans="1:16" s="243" customFormat="1" ht="10.5" customHeight="1">
      <c r="A56" s="380"/>
      <c r="B56" s="1467" t="s">
        <v>665</v>
      </c>
      <c r="C56" s="1467" t="s">
        <v>404</v>
      </c>
      <c r="D56" s="1453" t="s">
        <v>305</v>
      </c>
      <c r="E56" s="703">
        <v>4.82</v>
      </c>
      <c r="F56" s="1453">
        <v>6.5</v>
      </c>
      <c r="G56" s="1453" t="s">
        <v>305</v>
      </c>
      <c r="H56" s="703" t="s">
        <v>305</v>
      </c>
      <c r="I56" s="703">
        <v>8.74</v>
      </c>
      <c r="J56" s="703">
        <v>4.76</v>
      </c>
      <c r="K56" s="1453" t="s">
        <v>305</v>
      </c>
      <c r="L56" s="1453">
        <v>5.86</v>
      </c>
      <c r="M56" s="1453" t="s">
        <v>305</v>
      </c>
      <c r="O56" s="1449"/>
    </row>
    <row r="57" spans="1:16" s="520" customFormat="1" ht="10.5" customHeight="1" thickBot="1">
      <c r="A57" s="1142"/>
      <c r="B57" s="1143" t="s">
        <v>667</v>
      </c>
      <c r="C57" s="1143" t="s">
        <v>55</v>
      </c>
      <c r="D57" s="1027">
        <v>6.38</v>
      </c>
      <c r="E57" s="1027">
        <v>4.82</v>
      </c>
      <c r="F57" s="1413">
        <v>7</v>
      </c>
      <c r="G57" s="1413" t="s">
        <v>305</v>
      </c>
      <c r="H57" s="1027">
        <v>7.04</v>
      </c>
      <c r="I57" s="1027" t="s">
        <v>305</v>
      </c>
      <c r="J57" s="1027">
        <v>5.15</v>
      </c>
      <c r="K57" s="1413" t="s">
        <v>305</v>
      </c>
      <c r="L57" s="1413" t="s">
        <v>305</v>
      </c>
      <c r="M57" s="1413" t="s">
        <v>305</v>
      </c>
      <c r="O57" s="1449"/>
    </row>
    <row r="58" spans="1:16" s="33" customFormat="1" ht="9.75" customHeight="1">
      <c r="A58" s="2126" t="s">
        <v>1371</v>
      </c>
      <c r="B58" s="2271"/>
      <c r="C58" s="2271"/>
      <c r="D58" s="2271"/>
      <c r="E58" s="111"/>
      <c r="F58" s="111"/>
      <c r="G58" s="969"/>
      <c r="H58" s="111"/>
      <c r="I58" s="111"/>
      <c r="J58" s="111"/>
    </row>
    <row r="59" spans="1:16" s="8" customFormat="1" ht="9" customHeight="1">
      <c r="A59" s="9"/>
      <c r="C59" s="57" t="s">
        <v>405</v>
      </c>
      <c r="D59" s="1012"/>
      <c r="E59" s="1012"/>
      <c r="F59" s="1012"/>
      <c r="G59" s="238"/>
      <c r="H59" s="1012"/>
      <c r="I59" s="1012"/>
      <c r="J59" s="101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45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61"/>
  <sheetViews>
    <sheetView zoomScale="130" zoomScaleNormal="130" workbookViewId="0">
      <pane xSplit="1" ySplit="5" topLeftCell="B39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9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86" t="s">
        <v>57</v>
      </c>
      <c r="C1" s="2286"/>
      <c r="D1" s="2286"/>
      <c r="E1" s="2286"/>
      <c r="F1" s="2286"/>
      <c r="G1" s="2286"/>
      <c r="H1" s="2286"/>
      <c r="I1" s="2286"/>
      <c r="J1" s="1736"/>
      <c r="K1" s="2279" t="s">
        <v>646</v>
      </c>
      <c r="L1" s="2279"/>
      <c r="M1" s="2279"/>
      <c r="O1" s="2286" t="s">
        <v>17</v>
      </c>
      <c r="P1" s="2286"/>
      <c r="Q1" s="2286"/>
      <c r="R1" s="2286"/>
      <c r="S1" s="2286"/>
      <c r="T1" s="2286"/>
      <c r="U1" s="2286"/>
      <c r="V1" s="2286"/>
      <c r="W1" s="1736"/>
      <c r="X1" s="2279" t="s">
        <v>646</v>
      </c>
      <c r="Y1" s="2279"/>
      <c r="Z1" s="2279"/>
      <c r="AB1" s="2286" t="s">
        <v>18</v>
      </c>
      <c r="AC1" s="2286"/>
      <c r="AD1" s="2286"/>
      <c r="AE1" s="2286"/>
      <c r="AF1" s="2286"/>
      <c r="AG1" s="2286"/>
      <c r="AH1" s="2286"/>
      <c r="AI1" s="2286"/>
      <c r="AJ1" s="1736"/>
      <c r="AK1" s="2279" t="s">
        <v>650</v>
      </c>
      <c r="AL1" s="2279"/>
      <c r="AM1" s="2279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287" t="s">
        <v>551</v>
      </c>
      <c r="L2" s="2287"/>
      <c r="M2" s="2287"/>
      <c r="N2" s="79"/>
      <c r="O2" s="79"/>
      <c r="P2" s="79"/>
      <c r="Q2" s="79"/>
      <c r="R2" s="79"/>
      <c r="S2" s="79"/>
      <c r="T2" s="79"/>
      <c r="U2" s="79"/>
      <c r="V2" s="79"/>
      <c r="W2" s="79"/>
      <c r="X2" s="2278" t="s">
        <v>551</v>
      </c>
      <c r="Y2" s="2278"/>
      <c r="Z2" s="2278"/>
      <c r="AK2" s="2278" t="s">
        <v>551</v>
      </c>
      <c r="AL2" s="2278"/>
      <c r="AM2" s="2278"/>
    </row>
    <row r="3" spans="1:39" ht="12.75" customHeight="1">
      <c r="A3" s="2285" t="s">
        <v>524</v>
      </c>
      <c r="B3" s="2092" t="s">
        <v>2132</v>
      </c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4"/>
      <c r="N3" s="2285" t="s">
        <v>524</v>
      </c>
      <c r="O3" s="2092" t="s">
        <v>552</v>
      </c>
      <c r="P3" s="2283"/>
      <c r="Q3" s="2283"/>
      <c r="R3" s="2283"/>
      <c r="S3" s="2283"/>
      <c r="T3" s="2283"/>
      <c r="U3" s="2283"/>
      <c r="V3" s="2283"/>
      <c r="W3" s="2283"/>
      <c r="X3" s="2283"/>
      <c r="Y3" s="2283"/>
      <c r="Z3" s="2284"/>
      <c r="AA3" s="2285" t="s">
        <v>524</v>
      </c>
      <c r="AB3" s="2092" t="s">
        <v>552</v>
      </c>
      <c r="AC3" s="2283"/>
      <c r="AD3" s="2283"/>
      <c r="AE3" s="2283"/>
      <c r="AF3" s="2283"/>
      <c r="AG3" s="2283"/>
      <c r="AH3" s="2283"/>
      <c r="AI3" s="2283"/>
      <c r="AJ3" s="2283"/>
      <c r="AK3" s="2283"/>
      <c r="AL3" s="2283"/>
      <c r="AM3" s="2284"/>
    </row>
    <row r="4" spans="1:39" s="18" customFormat="1" ht="12.75" customHeight="1">
      <c r="A4" s="2285"/>
      <c r="B4" s="2281" t="s">
        <v>78</v>
      </c>
      <c r="C4" s="2281"/>
      <c r="D4" s="2282"/>
      <c r="E4" s="2280" t="s">
        <v>671</v>
      </c>
      <c r="F4" s="2281"/>
      <c r="G4" s="2282"/>
      <c r="H4" s="2280" t="s">
        <v>669</v>
      </c>
      <c r="I4" s="2281"/>
      <c r="J4" s="2282"/>
      <c r="K4" s="2280" t="s">
        <v>79</v>
      </c>
      <c r="L4" s="2281"/>
      <c r="M4" s="2282"/>
      <c r="N4" s="2285"/>
      <c r="O4" s="2280" t="s">
        <v>78</v>
      </c>
      <c r="P4" s="2281"/>
      <c r="Q4" s="2282"/>
      <c r="R4" s="2280" t="s">
        <v>671</v>
      </c>
      <c r="S4" s="2281"/>
      <c r="T4" s="2282"/>
      <c r="U4" s="2280" t="s">
        <v>669</v>
      </c>
      <c r="V4" s="2281"/>
      <c r="W4" s="2282"/>
      <c r="X4" s="2280" t="s">
        <v>79</v>
      </c>
      <c r="Y4" s="2281"/>
      <c r="Z4" s="2282"/>
      <c r="AA4" s="2285"/>
      <c r="AB4" s="2280" t="s">
        <v>78</v>
      </c>
      <c r="AC4" s="2281"/>
      <c r="AD4" s="2282"/>
      <c r="AE4" s="2280" t="s">
        <v>671</v>
      </c>
      <c r="AF4" s="2281"/>
      <c r="AG4" s="2282"/>
      <c r="AH4" s="2280" t="s">
        <v>669</v>
      </c>
      <c r="AI4" s="2281"/>
      <c r="AJ4" s="2282"/>
      <c r="AK4" s="2280" t="s">
        <v>79</v>
      </c>
      <c r="AL4" s="2281"/>
      <c r="AM4" s="2282"/>
    </row>
    <row r="5" spans="1:39" s="18" customFormat="1" ht="22.5" customHeight="1">
      <c r="A5" s="2285"/>
      <c r="B5" s="1733" t="s">
        <v>578</v>
      </c>
      <c r="C5" s="1207" t="s">
        <v>80</v>
      </c>
      <c r="D5" s="119" t="s">
        <v>678</v>
      </c>
      <c r="E5" s="1733" t="s">
        <v>578</v>
      </c>
      <c r="F5" s="1735" t="s">
        <v>80</v>
      </c>
      <c r="G5" s="119" t="s">
        <v>678</v>
      </c>
      <c r="H5" s="1733" t="s">
        <v>578</v>
      </c>
      <c r="I5" s="1735" t="s">
        <v>80</v>
      </c>
      <c r="J5" s="119" t="s">
        <v>678</v>
      </c>
      <c r="K5" s="1733" t="s">
        <v>578</v>
      </c>
      <c r="L5" s="1735" t="s">
        <v>80</v>
      </c>
      <c r="M5" s="119" t="s">
        <v>678</v>
      </c>
      <c r="N5" s="2285"/>
      <c r="O5" s="1733" t="s">
        <v>578</v>
      </c>
      <c r="P5" s="1735" t="s">
        <v>80</v>
      </c>
      <c r="Q5" s="119" t="s">
        <v>678</v>
      </c>
      <c r="R5" s="1733" t="s">
        <v>578</v>
      </c>
      <c r="S5" s="1735" t="s">
        <v>80</v>
      </c>
      <c r="T5" s="119" t="s">
        <v>678</v>
      </c>
      <c r="U5" s="1733" t="s">
        <v>578</v>
      </c>
      <c r="V5" s="1735" t="s">
        <v>80</v>
      </c>
      <c r="W5" s="119" t="s">
        <v>678</v>
      </c>
      <c r="X5" s="1733" t="s">
        <v>578</v>
      </c>
      <c r="Y5" s="1735" t="s">
        <v>80</v>
      </c>
      <c r="Z5" s="119" t="s">
        <v>678</v>
      </c>
      <c r="AA5" s="2285"/>
      <c r="AB5" s="1733" t="s">
        <v>578</v>
      </c>
      <c r="AC5" s="1735" t="s">
        <v>80</v>
      </c>
      <c r="AD5" s="119" t="s">
        <v>678</v>
      </c>
      <c r="AE5" s="1733" t="s">
        <v>578</v>
      </c>
      <c r="AF5" s="1735" t="s">
        <v>80</v>
      </c>
      <c r="AG5" s="119" t="s">
        <v>678</v>
      </c>
      <c r="AH5" s="1733" t="s">
        <v>578</v>
      </c>
      <c r="AI5" s="1735" t="s">
        <v>80</v>
      </c>
      <c r="AJ5" s="119" t="s">
        <v>678</v>
      </c>
      <c r="AK5" s="1733" t="s">
        <v>578</v>
      </c>
      <c r="AL5" s="1735" t="s">
        <v>80</v>
      </c>
      <c r="AM5" s="119" t="s">
        <v>678</v>
      </c>
    </row>
    <row r="6" spans="1:39" s="290" customFormat="1" ht="12" customHeight="1">
      <c r="A6" s="1434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434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434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2" customHeight="1">
      <c r="A7" s="338" t="s">
        <v>198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198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198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2" customHeight="1">
      <c r="A8" s="1434" t="s">
        <v>789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434" t="s">
        <v>789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434" t="s">
        <v>789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2" customHeight="1">
      <c r="A9" s="338" t="s">
        <v>905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905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905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2" customHeight="1">
      <c r="A10" s="372" t="s">
        <v>1104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1104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1104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2" customHeight="1">
      <c r="A11" s="1732" t="s">
        <v>1163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732" t="s">
        <v>1163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732" t="s">
        <v>1163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2" customHeight="1">
      <c r="A12" s="1731" t="s">
        <v>1295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731" t="s">
        <v>1295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731" t="s">
        <v>1295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2" customHeight="1">
      <c r="A13" s="1732" t="s">
        <v>1328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732" t="s">
        <v>1328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732" t="s">
        <v>1328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2" customHeight="1">
      <c r="A14" s="1731" t="s">
        <v>1467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731" t="s">
        <v>1467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731" t="s">
        <v>1467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2" customHeight="1">
      <c r="A15" s="1732" t="s">
        <v>1596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732" t="s">
        <v>1596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732" t="s">
        <v>1596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2" customHeight="1">
      <c r="A16" s="618" t="s">
        <v>1691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1691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1691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2" customHeight="1">
      <c r="A17" s="670" t="s">
        <v>1760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1760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1760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2" customHeight="1">
      <c r="A18" s="591" t="s">
        <v>603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603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603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2" customHeight="1">
      <c r="A19" s="633" t="s">
        <v>604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604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604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2" customHeight="1">
      <c r="A20" s="591" t="s">
        <v>598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598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598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2" customHeight="1">
      <c r="A21" s="633" t="s">
        <v>605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605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605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2" customHeight="1">
      <c r="A22" s="591" t="s">
        <v>606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606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606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2" customHeight="1">
      <c r="A23" s="633" t="s">
        <v>599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599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599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2" customHeight="1">
      <c r="A24" s="591" t="s">
        <v>607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607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607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2" customHeight="1">
      <c r="A25" s="633" t="s">
        <v>608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608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608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2" customHeight="1">
      <c r="A26" s="591" t="s">
        <v>600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600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600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2" customHeight="1">
      <c r="A27" s="633" t="s">
        <v>609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609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609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2" customHeight="1">
      <c r="A28" s="591" t="s">
        <v>610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610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610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2" customHeight="1">
      <c r="A29" s="633" t="s">
        <v>601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601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601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2" customHeight="1">
      <c r="A30" s="618" t="s">
        <v>2160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2160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2160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2" customHeight="1">
      <c r="A31" s="633" t="s">
        <v>603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603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603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2" customHeight="1">
      <c r="A32" s="591" t="s">
        <v>604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604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604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2" customHeight="1">
      <c r="A33" s="633" t="s">
        <v>598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598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598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2" customHeight="1">
      <c r="A34" s="591" t="s">
        <v>605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605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605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2" customHeight="1">
      <c r="A35" s="633" t="s">
        <v>606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606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606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2" customHeight="1">
      <c r="A36" s="591" t="s">
        <v>599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599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599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2" customHeight="1">
      <c r="A37" s="633" t="s">
        <v>607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607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607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2" customHeight="1">
      <c r="A38" s="591" t="s">
        <v>608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608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608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2" customHeight="1">
      <c r="A39" s="633" t="s">
        <v>600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600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600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2" customHeight="1">
      <c r="A40" s="591" t="s">
        <v>609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609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609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2" customHeight="1">
      <c r="A41" s="633" t="s">
        <v>610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610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610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2" customHeight="1">
      <c r="A42" s="591" t="s">
        <v>601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601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601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2" customHeight="1">
      <c r="A43" s="670" t="s">
        <v>2475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2475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2475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2" customHeight="1">
      <c r="A44" s="591" t="s">
        <v>603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603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603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2" customHeight="1">
      <c r="A45" s="633" t="s">
        <v>604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604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604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2" customHeight="1">
      <c r="A46" s="591" t="s">
        <v>598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598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598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2" customHeight="1">
      <c r="A47" s="633" t="s">
        <v>605</v>
      </c>
      <c r="B47" s="1662">
        <v>3.1544249999999998</v>
      </c>
      <c r="C47" s="1662">
        <v>2.3609</v>
      </c>
      <c r="D47" s="1662">
        <v>0</v>
      </c>
      <c r="E47" s="1662">
        <v>3.7686250000000001</v>
      </c>
      <c r="F47" s="1662">
        <v>3.0812750000000002</v>
      </c>
      <c r="G47" s="1662">
        <v>0</v>
      </c>
      <c r="H47" s="1662">
        <v>4.2827000000000002</v>
      </c>
      <c r="I47" s="1662">
        <v>3.9324750000000002</v>
      </c>
      <c r="J47" s="1662">
        <v>0</v>
      </c>
      <c r="K47" s="1662">
        <v>4.8122499999999997</v>
      </c>
      <c r="L47" s="1662">
        <v>3.61</v>
      </c>
      <c r="M47" s="1662">
        <v>0</v>
      </c>
      <c r="N47" s="633" t="s">
        <v>605</v>
      </c>
      <c r="O47" s="1663">
        <v>1.86513529411765</v>
      </c>
      <c r="P47" s="1663">
        <v>1.27776666666667</v>
      </c>
      <c r="Q47" s="1663">
        <v>0.31133333333333302</v>
      </c>
      <c r="R47" s="1663">
        <v>2.4048941176470602</v>
      </c>
      <c r="S47" s="1663">
        <v>1.5547307692307699</v>
      </c>
      <c r="T47" s="1663">
        <v>0.45100000000000001</v>
      </c>
      <c r="U47" s="1663">
        <v>2.75549444444444</v>
      </c>
      <c r="V47" s="1663">
        <v>1.9285538461538501</v>
      </c>
      <c r="W47" s="1663">
        <v>0.73575000000000002</v>
      </c>
      <c r="X47" s="1663">
        <v>2.9853176470588201</v>
      </c>
      <c r="Y47" s="1663">
        <v>1.9206000000000001</v>
      </c>
      <c r="Z47" s="1663">
        <v>0.79428571428571404</v>
      </c>
      <c r="AA47" s="633" t="s">
        <v>605</v>
      </c>
      <c r="AB47" s="1664">
        <v>1.1800333333333299</v>
      </c>
      <c r="AC47" s="1664">
        <v>0.755</v>
      </c>
      <c r="AD47" s="1664">
        <v>0.56499999999999995</v>
      </c>
      <c r="AE47" s="1664">
        <v>1.4816400000000001</v>
      </c>
      <c r="AF47" s="1664">
        <v>0.82086666666666697</v>
      </c>
      <c r="AG47" s="1664">
        <v>0.5</v>
      </c>
      <c r="AH47" s="1664">
        <v>2.2874333333333299</v>
      </c>
      <c r="AI47" s="1664">
        <v>0.56999999999999995</v>
      </c>
      <c r="AJ47" s="1664">
        <v>0.75</v>
      </c>
      <c r="AK47" s="1664">
        <v>1.627075</v>
      </c>
      <c r="AL47" s="1664">
        <v>0.65934999999999999</v>
      </c>
      <c r="AM47" s="1664">
        <v>1</v>
      </c>
    </row>
    <row r="48" spans="1:39" s="280" customFormat="1" ht="12" customHeight="1">
      <c r="A48" s="591" t="s">
        <v>606</v>
      </c>
      <c r="B48" s="1719">
        <v>2.9272200000000002</v>
      </c>
      <c r="C48" s="1719">
        <v>2.2197399999999998</v>
      </c>
      <c r="D48" s="1719">
        <v>0</v>
      </c>
      <c r="E48" s="1719">
        <v>3.4677199999999999</v>
      </c>
      <c r="F48" s="1719">
        <v>2.6247600000000002</v>
      </c>
      <c r="G48" s="1719">
        <v>0</v>
      </c>
      <c r="H48" s="1719">
        <v>4.8097000000000003</v>
      </c>
      <c r="I48" s="1719">
        <v>4.0413500000000004</v>
      </c>
      <c r="J48" s="1719">
        <v>0</v>
      </c>
      <c r="K48" s="1719">
        <v>5.2746000000000004</v>
      </c>
      <c r="L48" s="1719">
        <v>4.3</v>
      </c>
      <c r="M48" s="1719">
        <v>0</v>
      </c>
      <c r="N48" s="591" t="s">
        <v>606</v>
      </c>
      <c r="O48" s="1720">
        <v>2.0389499999999998</v>
      </c>
      <c r="P48" s="1720">
        <v>1.5418499999999999</v>
      </c>
      <c r="Q48" s="1720">
        <v>0.42599999999999999</v>
      </c>
      <c r="R48" s="1720">
        <v>2.7240294117647101</v>
      </c>
      <c r="S48" s="1720">
        <v>1.6566384615384599</v>
      </c>
      <c r="T48" s="1720">
        <v>0.54314285714285704</v>
      </c>
      <c r="U48" s="1720">
        <v>2.9229833333333302</v>
      </c>
      <c r="V48" s="1720">
        <v>2.0389230769230799</v>
      </c>
      <c r="W48" s="1720">
        <v>0.78174999999999994</v>
      </c>
      <c r="X48" s="1720">
        <v>3.0679882352941199</v>
      </c>
      <c r="Y48" s="1720">
        <v>2.1520000000000001</v>
      </c>
      <c r="Z48" s="1720">
        <v>0.84214285714285697</v>
      </c>
      <c r="AA48" s="591" t="s">
        <v>606</v>
      </c>
      <c r="AB48" s="1721">
        <v>1.18</v>
      </c>
      <c r="AC48" s="1721">
        <v>0.82</v>
      </c>
      <c r="AD48" s="1721">
        <v>0.56499999999999995</v>
      </c>
      <c r="AE48" s="1721">
        <v>2.0303</v>
      </c>
      <c r="AF48" s="1721">
        <v>1.02</v>
      </c>
      <c r="AG48" s="1721">
        <v>0.5</v>
      </c>
      <c r="AH48" s="1721">
        <v>1.7730999999999999</v>
      </c>
      <c r="AI48" s="1721">
        <v>0.56999999999999995</v>
      </c>
      <c r="AJ48" s="1721">
        <v>0.75</v>
      </c>
      <c r="AK48" s="1721">
        <v>1.7448999999999999</v>
      </c>
      <c r="AL48" s="1721">
        <v>0.66069999999999995</v>
      </c>
      <c r="AM48" s="1721">
        <v>1</v>
      </c>
    </row>
    <row r="49" spans="1:39" s="280" customFormat="1" ht="12" customHeight="1" thickBot="1">
      <c r="A49" s="1610" t="s">
        <v>599</v>
      </c>
      <c r="B49" s="1722">
        <v>2.6480000000000001</v>
      </c>
      <c r="C49" s="1722">
        <v>1.9259999999999999</v>
      </c>
      <c r="D49" s="1722">
        <v>0</v>
      </c>
      <c r="E49" s="1722">
        <v>3.08</v>
      </c>
      <c r="F49" s="1722">
        <v>2.2519999999999998</v>
      </c>
      <c r="G49" s="1722">
        <v>0</v>
      </c>
      <c r="H49" s="1722">
        <v>4.2774999999999999</v>
      </c>
      <c r="I49" s="1722">
        <v>3.3675000000000002</v>
      </c>
      <c r="J49" s="1722">
        <v>0</v>
      </c>
      <c r="K49" s="1722">
        <v>4.5225</v>
      </c>
      <c r="L49" s="1722">
        <v>2.14</v>
      </c>
      <c r="M49" s="1722">
        <v>0</v>
      </c>
      <c r="N49" s="1610" t="s">
        <v>599</v>
      </c>
      <c r="O49" s="1722">
        <v>2.0894117647058801</v>
      </c>
      <c r="P49" s="1722">
        <v>1.7581818181818201</v>
      </c>
      <c r="Q49" s="1722">
        <v>0.70499999999999996</v>
      </c>
      <c r="R49" s="1722">
        <v>2.7211764705882402</v>
      </c>
      <c r="S49" s="1722">
        <v>1.7823076923076899</v>
      </c>
      <c r="T49" s="1722">
        <v>0.75857142857142801</v>
      </c>
      <c r="U49" s="1722">
        <v>2.89611111111111</v>
      </c>
      <c r="V49" s="1722">
        <v>2.06</v>
      </c>
      <c r="W49" s="1722">
        <v>0.95125000000000004</v>
      </c>
      <c r="X49" s="1722">
        <v>3.1852941176470599</v>
      </c>
      <c r="Y49" s="1722">
        <v>1.9730000000000001</v>
      </c>
      <c r="Z49" s="1722">
        <v>1.0585714285714301</v>
      </c>
      <c r="AA49" s="1610" t="s">
        <v>599</v>
      </c>
      <c r="AB49" s="1722">
        <v>1.5825</v>
      </c>
      <c r="AC49" s="1722">
        <v>0.94666666666666699</v>
      </c>
      <c r="AD49" s="1722">
        <v>0.56499999999999995</v>
      </c>
      <c r="AE49" s="1722">
        <v>2.0019999999999998</v>
      </c>
      <c r="AF49" s="1722">
        <v>1.03</v>
      </c>
      <c r="AG49" s="1722">
        <v>0.5</v>
      </c>
      <c r="AH49" s="1722">
        <v>1.8325</v>
      </c>
      <c r="AI49" s="1722">
        <v>0.85</v>
      </c>
      <c r="AJ49" s="1722">
        <v>0.75</v>
      </c>
      <c r="AK49" s="1722">
        <v>1.8574999999999999</v>
      </c>
      <c r="AL49" s="1722">
        <v>0.66</v>
      </c>
      <c r="AM49" s="1722">
        <v>1</v>
      </c>
    </row>
    <row r="50" spans="1:39">
      <c r="A50" s="123" t="s">
        <v>410</v>
      </c>
      <c r="B50" s="2138" t="s">
        <v>1364</v>
      </c>
      <c r="C50" s="2138"/>
      <c r="D50" s="2138"/>
      <c r="E50" s="2138"/>
      <c r="F50" s="2138"/>
      <c r="G50" s="1056"/>
      <c r="H50" s="1012"/>
      <c r="I50" s="1012"/>
      <c r="J50" s="1012"/>
      <c r="K50" s="1012"/>
      <c r="L50" s="1012"/>
      <c r="M50" s="1012"/>
      <c r="N50" s="123" t="s">
        <v>410</v>
      </c>
      <c r="O50" s="2138" t="s">
        <v>1364</v>
      </c>
      <c r="P50" s="2138"/>
      <c r="Q50" s="2138"/>
      <c r="R50" s="2138"/>
      <c r="S50" s="2138"/>
      <c r="T50" s="2138"/>
      <c r="AA50" s="123" t="s">
        <v>409</v>
      </c>
      <c r="AB50" s="1886" t="s">
        <v>1364</v>
      </c>
      <c r="AC50" s="1886"/>
      <c r="AD50" s="1886"/>
      <c r="AE50" s="1886"/>
      <c r="AF50" s="1886"/>
      <c r="AG50" s="28"/>
      <c r="AH50" s="28"/>
      <c r="AI50" s="28"/>
      <c r="AJ50" s="28"/>
      <c r="AK50" s="28"/>
      <c r="AL50" s="28"/>
    </row>
    <row r="51" spans="1:39" ht="9.75" customHeight="1">
      <c r="A51" s="46" t="s">
        <v>411</v>
      </c>
      <c r="B51" s="2275"/>
      <c r="C51" s="2275"/>
      <c r="D51" s="2275"/>
      <c r="E51" s="57"/>
      <c r="F51" s="57"/>
      <c r="G51" s="57"/>
      <c r="H51" s="1012"/>
      <c r="I51" s="1012"/>
      <c r="J51" s="1012"/>
      <c r="K51" s="1012"/>
      <c r="L51" s="1012"/>
      <c r="M51" s="1012"/>
      <c r="N51" s="120" t="s">
        <v>234</v>
      </c>
      <c r="O51" s="2276"/>
      <c r="P51" s="2276"/>
      <c r="Q51" s="2276"/>
      <c r="R51" s="865"/>
      <c r="S51" s="865"/>
      <c r="T51" s="124"/>
      <c r="U51" s="122"/>
      <c r="V51" s="122"/>
      <c r="W51" s="122"/>
      <c r="X51" s="122"/>
      <c r="Y51" s="122"/>
      <c r="Z51" s="122"/>
      <c r="AA51" s="17" t="s">
        <v>407</v>
      </c>
      <c r="AB51" s="2277"/>
      <c r="AC51" s="2277"/>
      <c r="AD51" s="2277"/>
      <c r="AE51" s="88"/>
      <c r="AF51" s="88"/>
      <c r="AG51" s="28"/>
      <c r="AH51" s="28"/>
      <c r="AI51" s="28"/>
      <c r="AJ51" s="28"/>
      <c r="AK51" s="28"/>
      <c r="AL51" s="28"/>
    </row>
    <row r="52" spans="1:39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</row>
    <row r="53" spans="1:39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</row>
    <row r="54" spans="1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1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0:F50"/>
    <mergeCell ref="O50:T50"/>
    <mergeCell ref="AB50:AF50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1:D51"/>
    <mergeCell ref="O51:Q51"/>
    <mergeCell ref="AB51:AD51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45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8"/>
  <sheetViews>
    <sheetView showWhiteSpace="0" topLeftCell="A34" zoomScale="130" zoomScaleNormal="130" workbookViewId="0">
      <selection activeCell="I51" sqref="I51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88" t="s">
        <v>1536</v>
      </c>
      <c r="C1" s="2288"/>
      <c r="D1" s="2288"/>
      <c r="E1" s="2288"/>
      <c r="F1" s="2289" t="s">
        <v>385</v>
      </c>
      <c r="G1" s="2289"/>
    </row>
    <row r="2" spans="1:15" ht="11.25" customHeight="1">
      <c r="A2" s="2290"/>
      <c r="B2" s="2290"/>
      <c r="C2" s="2290"/>
      <c r="D2" s="2290"/>
      <c r="E2" s="2290"/>
      <c r="F2" s="2291" t="s">
        <v>551</v>
      </c>
      <c r="G2" s="2291"/>
    </row>
    <row r="3" spans="1:15" s="42" customFormat="1" ht="15.75" customHeight="1">
      <c r="A3" s="2181" t="s">
        <v>524</v>
      </c>
      <c r="B3" s="2292" t="s">
        <v>553</v>
      </c>
      <c r="C3" s="2293"/>
      <c r="D3" s="2293"/>
      <c r="E3" s="2293" t="s">
        <v>556</v>
      </c>
      <c r="F3" s="2293"/>
      <c r="G3" s="2293"/>
    </row>
    <row r="4" spans="1:15" s="42" customFormat="1" ht="15.75" customHeight="1">
      <c r="A4" s="2181"/>
      <c r="B4" s="1129" t="s">
        <v>554</v>
      </c>
      <c r="C4" s="118" t="s">
        <v>555</v>
      </c>
      <c r="D4" s="1100" t="s">
        <v>523</v>
      </c>
      <c r="E4" s="1104" t="s">
        <v>554</v>
      </c>
      <c r="F4" s="1104" t="s">
        <v>555</v>
      </c>
      <c r="G4" s="1104" t="s">
        <v>523</v>
      </c>
    </row>
    <row r="5" spans="1:15" ht="11.45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45" customHeight="1">
      <c r="A6" s="1113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1.45" customHeight="1">
      <c r="A7" s="1112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1.45" customHeight="1">
      <c r="A8" s="1113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1.45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1.45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1.45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1.45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1.45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1.45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1.45" customHeight="1">
      <c r="A15" s="984">
        <v>2019</v>
      </c>
      <c r="B15" s="153">
        <v>5.5</v>
      </c>
      <c r="C15" s="153">
        <v>0.75</v>
      </c>
      <c r="D15" s="153">
        <v>4.4274999999999993</v>
      </c>
      <c r="E15" s="153">
        <v>5.5</v>
      </c>
      <c r="F15" s="153">
        <v>0.75</v>
      </c>
      <c r="G15" s="153">
        <v>4.4274999999999993</v>
      </c>
    </row>
    <row r="16" spans="1:15" s="175" customFormat="1" ht="11.45" customHeight="1">
      <c r="A16" s="1117">
        <v>2020</v>
      </c>
      <c r="B16" s="331">
        <f>MAX(B17:B28)</f>
        <v>5.5</v>
      </c>
      <c r="C16" s="331">
        <f>MIN(C17:C28)</f>
        <v>0.3</v>
      </c>
      <c r="D16" s="331">
        <f>AVERAGE(D17:D28)</f>
        <v>4.0091666666666663</v>
      </c>
      <c r="E16" s="331">
        <f>MAX(E17:E28)</f>
        <v>5.5</v>
      </c>
      <c r="F16" s="331">
        <f>MIN(F17:F28)</f>
        <v>0.3</v>
      </c>
      <c r="G16" s="331">
        <f>AVERAGE(G17:G28)</f>
        <v>4.0091666666666663</v>
      </c>
    </row>
    <row r="17" spans="1:7" s="175" customFormat="1" ht="11.45" customHeight="1">
      <c r="A17" s="424" t="s">
        <v>607</v>
      </c>
      <c r="B17" s="281">
        <v>5.5</v>
      </c>
      <c r="C17" s="281">
        <v>2.9</v>
      </c>
      <c r="D17" s="281">
        <v>4.84</v>
      </c>
      <c r="E17" s="281">
        <v>5.5</v>
      </c>
      <c r="F17" s="281">
        <v>2.9</v>
      </c>
      <c r="G17" s="281">
        <v>4.84</v>
      </c>
    </row>
    <row r="18" spans="1:7" s="175" customFormat="1" ht="11.45" customHeight="1">
      <c r="A18" s="438" t="s">
        <v>608</v>
      </c>
      <c r="B18" s="323">
        <v>5.5</v>
      </c>
      <c r="C18" s="323">
        <v>4.25</v>
      </c>
      <c r="D18" s="323">
        <v>5.0599999999999996</v>
      </c>
      <c r="E18" s="323">
        <v>5.5</v>
      </c>
      <c r="F18" s="323">
        <v>4.25</v>
      </c>
      <c r="G18" s="323">
        <v>5.0599999999999996</v>
      </c>
    </row>
    <row r="19" spans="1:7" s="175" customFormat="1" ht="11.45" customHeight="1">
      <c r="A19" s="424" t="s">
        <v>600</v>
      </c>
      <c r="B19" s="281">
        <v>5.5</v>
      </c>
      <c r="C19" s="281">
        <v>4.25</v>
      </c>
      <c r="D19" s="281">
        <v>5.14</v>
      </c>
      <c r="E19" s="281">
        <v>5.5</v>
      </c>
      <c r="F19" s="281">
        <v>4.25</v>
      </c>
      <c r="G19" s="281">
        <v>5.14</v>
      </c>
    </row>
    <row r="20" spans="1:7" s="175" customFormat="1" ht="11.45" customHeight="1">
      <c r="A20" s="438" t="s">
        <v>609</v>
      </c>
      <c r="B20" s="323">
        <v>5</v>
      </c>
      <c r="C20" s="323">
        <v>3</v>
      </c>
      <c r="D20" s="323">
        <v>4.8899999999999997</v>
      </c>
      <c r="E20" s="323">
        <v>5</v>
      </c>
      <c r="F20" s="323">
        <v>3</v>
      </c>
      <c r="G20" s="323">
        <v>4.8899999999999997</v>
      </c>
    </row>
    <row r="21" spans="1:7" s="175" customFormat="1" ht="11.45" customHeight="1">
      <c r="A21" s="424" t="s">
        <v>610</v>
      </c>
      <c r="B21" s="281">
        <v>5.5</v>
      </c>
      <c r="C21" s="281">
        <v>3.5</v>
      </c>
      <c r="D21" s="281">
        <v>4.97</v>
      </c>
      <c r="E21" s="281">
        <v>5.5</v>
      </c>
      <c r="F21" s="281">
        <v>3.5</v>
      </c>
      <c r="G21" s="281">
        <v>4.97</v>
      </c>
    </row>
    <row r="22" spans="1:7" s="175" customFormat="1" ht="11.45" customHeight="1">
      <c r="A22" s="438" t="s">
        <v>601</v>
      </c>
      <c r="B22" s="323">
        <v>5.5</v>
      </c>
      <c r="C22" s="323">
        <v>3.75</v>
      </c>
      <c r="D22" s="323">
        <v>5.01</v>
      </c>
      <c r="E22" s="323">
        <v>5.5</v>
      </c>
      <c r="F22" s="323">
        <v>3.75</v>
      </c>
      <c r="G22" s="323">
        <v>5.01</v>
      </c>
    </row>
    <row r="23" spans="1:7" s="175" customFormat="1" ht="11.45" customHeight="1">
      <c r="A23" s="424" t="s">
        <v>603</v>
      </c>
      <c r="B23" s="281">
        <v>5.5</v>
      </c>
      <c r="C23" s="281">
        <v>1</v>
      </c>
      <c r="D23" s="281">
        <v>4.2300000000000004</v>
      </c>
      <c r="E23" s="281">
        <v>5.5</v>
      </c>
      <c r="F23" s="281">
        <v>1</v>
      </c>
      <c r="G23" s="281">
        <v>4.2300000000000004</v>
      </c>
    </row>
    <row r="24" spans="1:7" s="175" customFormat="1" ht="11.45" customHeight="1">
      <c r="A24" s="438" t="s">
        <v>604</v>
      </c>
      <c r="B24" s="323">
        <v>5.5</v>
      </c>
      <c r="C24" s="323">
        <v>3</v>
      </c>
      <c r="D24" s="323">
        <v>4.7</v>
      </c>
      <c r="E24" s="323">
        <v>5.5</v>
      </c>
      <c r="F24" s="323">
        <v>3</v>
      </c>
      <c r="G24" s="323">
        <v>4.7</v>
      </c>
    </row>
    <row r="25" spans="1:7" s="175" customFormat="1" ht="11.45" customHeight="1">
      <c r="A25" s="424" t="s">
        <v>598</v>
      </c>
      <c r="B25" s="281">
        <v>5.25</v>
      </c>
      <c r="C25" s="281">
        <v>0.3</v>
      </c>
      <c r="D25" s="281">
        <v>2.87</v>
      </c>
      <c r="E25" s="281">
        <v>5.25</v>
      </c>
      <c r="F25" s="281">
        <v>0.3</v>
      </c>
      <c r="G25" s="281">
        <v>2.87</v>
      </c>
    </row>
    <row r="26" spans="1:7" s="175" customFormat="1" ht="11.45" customHeight="1">
      <c r="A26" s="438" t="s">
        <v>605</v>
      </c>
      <c r="B26" s="323">
        <v>5.25</v>
      </c>
      <c r="C26" s="323">
        <v>1</v>
      </c>
      <c r="D26" s="323">
        <v>2.61</v>
      </c>
      <c r="E26" s="323">
        <v>5.25</v>
      </c>
      <c r="F26" s="323">
        <v>1</v>
      </c>
      <c r="G26" s="323">
        <v>2.61</v>
      </c>
    </row>
    <row r="27" spans="1:7" s="175" customFormat="1" ht="11.45" customHeight="1">
      <c r="A27" s="424" t="s">
        <v>606</v>
      </c>
      <c r="B27" s="281">
        <v>5.25</v>
      </c>
      <c r="C27" s="281">
        <v>1</v>
      </c>
      <c r="D27" s="281">
        <v>2</v>
      </c>
      <c r="E27" s="281">
        <v>5.25</v>
      </c>
      <c r="F27" s="281">
        <v>1</v>
      </c>
      <c r="G27" s="281">
        <v>2</v>
      </c>
    </row>
    <row r="28" spans="1:7" s="175" customFormat="1" ht="11.45" customHeight="1">
      <c r="A28" s="438" t="s">
        <v>599</v>
      </c>
      <c r="B28" s="323">
        <v>5.25</v>
      </c>
      <c r="C28" s="323">
        <v>1</v>
      </c>
      <c r="D28" s="323">
        <v>1.79</v>
      </c>
      <c r="E28" s="323">
        <v>5.25</v>
      </c>
      <c r="F28" s="323">
        <v>1</v>
      </c>
      <c r="G28" s="323">
        <v>1.79</v>
      </c>
    </row>
    <row r="29" spans="1:7" s="175" customFormat="1" ht="11.45" customHeight="1">
      <c r="A29" s="984">
        <v>2021</v>
      </c>
      <c r="B29" s="153">
        <f>MAX(B30:B41)</f>
        <v>5.25</v>
      </c>
      <c r="C29" s="153">
        <f>MIN(C30:C41)</f>
        <v>1</v>
      </c>
      <c r="D29" s="153">
        <f>AVERAGE(D30:D41)</f>
        <v>2.1041666666666665</v>
      </c>
      <c r="E29" s="153">
        <f>MAX(E30:E41)</f>
        <v>5.25</v>
      </c>
      <c r="F29" s="153">
        <f>MIN(F30:F41)</f>
        <v>1</v>
      </c>
      <c r="G29" s="153">
        <f>AVERAGE(G30:G41)</f>
        <v>2.1041666666666665</v>
      </c>
    </row>
    <row r="30" spans="1:7" s="175" customFormat="1" ht="11.45" customHeight="1">
      <c r="A30" s="438" t="s">
        <v>607</v>
      </c>
      <c r="B30" s="323">
        <v>5.25</v>
      </c>
      <c r="C30" s="323">
        <v>1</v>
      </c>
      <c r="D30" s="323">
        <v>1.78</v>
      </c>
      <c r="E30" s="323">
        <v>5.25</v>
      </c>
      <c r="F30" s="323">
        <v>1</v>
      </c>
      <c r="G30" s="323">
        <v>1.78</v>
      </c>
    </row>
    <row r="31" spans="1:7" s="175" customFormat="1" ht="11.45" customHeight="1">
      <c r="A31" s="424" t="s">
        <v>608</v>
      </c>
      <c r="B31" s="281">
        <v>5.25</v>
      </c>
      <c r="C31" s="281">
        <v>1</v>
      </c>
      <c r="D31" s="281">
        <v>1.67</v>
      </c>
      <c r="E31" s="281">
        <v>5.25</v>
      </c>
      <c r="F31" s="281">
        <v>1</v>
      </c>
      <c r="G31" s="281">
        <v>1.67</v>
      </c>
    </row>
    <row r="32" spans="1:7" s="175" customFormat="1" ht="11.45" customHeight="1">
      <c r="A32" s="438" t="s">
        <v>600</v>
      </c>
      <c r="B32" s="323">
        <v>5.25</v>
      </c>
      <c r="C32" s="323">
        <v>1</v>
      </c>
      <c r="D32" s="323">
        <v>1.82</v>
      </c>
      <c r="E32" s="323">
        <v>5.25</v>
      </c>
      <c r="F32" s="323">
        <v>1</v>
      </c>
      <c r="G32" s="323">
        <v>1.82</v>
      </c>
    </row>
    <row r="33" spans="1:7" s="175" customFormat="1" ht="11.45" customHeight="1">
      <c r="A33" s="424" t="s">
        <v>609</v>
      </c>
      <c r="B33" s="281">
        <v>5.25</v>
      </c>
      <c r="C33" s="281">
        <v>1</v>
      </c>
      <c r="D33" s="281">
        <v>1.68</v>
      </c>
      <c r="E33" s="281">
        <v>5.25</v>
      </c>
      <c r="F33" s="281">
        <v>1</v>
      </c>
      <c r="G33" s="281">
        <v>1.68</v>
      </c>
    </row>
    <row r="34" spans="1:7" s="175" customFormat="1" ht="11.45" customHeight="1">
      <c r="A34" s="438" t="s">
        <v>610</v>
      </c>
      <c r="B34" s="323">
        <v>5.25</v>
      </c>
      <c r="C34" s="323">
        <v>1</v>
      </c>
      <c r="D34" s="323">
        <v>2.08</v>
      </c>
      <c r="E34" s="323">
        <v>5.25</v>
      </c>
      <c r="F34" s="323">
        <v>1</v>
      </c>
      <c r="G34" s="323">
        <v>2.08</v>
      </c>
    </row>
    <row r="35" spans="1:7" s="175" customFormat="1" ht="11.45" customHeight="1">
      <c r="A35" s="424" t="s">
        <v>601</v>
      </c>
      <c r="B35" s="281">
        <v>5.25</v>
      </c>
      <c r="C35" s="281">
        <v>1</v>
      </c>
      <c r="D35" s="281">
        <v>2.25</v>
      </c>
      <c r="E35" s="281">
        <v>5.25</v>
      </c>
      <c r="F35" s="281">
        <v>1</v>
      </c>
      <c r="G35" s="281">
        <v>2.25</v>
      </c>
    </row>
    <row r="36" spans="1:7" s="175" customFormat="1" ht="11.45" customHeight="1">
      <c r="A36" s="438" t="s">
        <v>603</v>
      </c>
      <c r="B36" s="323">
        <v>5.25</v>
      </c>
      <c r="C36" s="323">
        <v>1</v>
      </c>
      <c r="D36" s="323">
        <v>2.2200000000000002</v>
      </c>
      <c r="E36" s="323">
        <v>5.25</v>
      </c>
      <c r="F36" s="323">
        <v>1</v>
      </c>
      <c r="G36" s="323">
        <v>2.2200000000000002</v>
      </c>
    </row>
    <row r="37" spans="1:7" s="175" customFormat="1" ht="11.45" customHeight="1">
      <c r="A37" s="424" t="s">
        <v>604</v>
      </c>
      <c r="B37" s="281">
        <v>5.25</v>
      </c>
      <c r="C37" s="281">
        <v>1</v>
      </c>
      <c r="D37" s="281">
        <v>1.79</v>
      </c>
      <c r="E37" s="281">
        <v>5.25</v>
      </c>
      <c r="F37" s="281">
        <v>1</v>
      </c>
      <c r="G37" s="281">
        <v>1.79</v>
      </c>
    </row>
    <row r="38" spans="1:7" s="175" customFormat="1" ht="11.45" customHeight="1">
      <c r="A38" s="438" t="s">
        <v>598</v>
      </c>
      <c r="B38" s="323">
        <v>5.25</v>
      </c>
      <c r="C38" s="323">
        <v>1</v>
      </c>
      <c r="D38" s="323">
        <v>1.9</v>
      </c>
      <c r="E38" s="323">
        <v>5.25</v>
      </c>
      <c r="F38" s="323">
        <v>1</v>
      </c>
      <c r="G38" s="323">
        <v>1.9</v>
      </c>
    </row>
    <row r="39" spans="1:7" s="175" customFormat="1" ht="11.45" customHeight="1">
      <c r="A39" s="424" t="s">
        <v>605</v>
      </c>
      <c r="B39" s="281">
        <v>5.25</v>
      </c>
      <c r="C39" s="281">
        <v>1</v>
      </c>
      <c r="D39" s="281">
        <v>2.25</v>
      </c>
      <c r="E39" s="281">
        <v>5.25</v>
      </c>
      <c r="F39" s="281">
        <v>1</v>
      </c>
      <c r="G39" s="281">
        <v>2.25</v>
      </c>
    </row>
    <row r="40" spans="1:7" s="175" customFormat="1" ht="11.45" customHeight="1">
      <c r="A40" s="438" t="s">
        <v>606</v>
      </c>
      <c r="B40" s="323">
        <v>5.25</v>
      </c>
      <c r="C40" s="323">
        <v>1</v>
      </c>
      <c r="D40" s="323">
        <v>3.15</v>
      </c>
      <c r="E40" s="323">
        <v>5.25</v>
      </c>
      <c r="F40" s="323">
        <v>1</v>
      </c>
      <c r="G40" s="323">
        <v>3.15</v>
      </c>
    </row>
    <row r="41" spans="1:7" s="175" customFormat="1" ht="11.45" customHeight="1">
      <c r="A41" s="424" t="s">
        <v>599</v>
      </c>
      <c r="B41" s="281">
        <v>5.25</v>
      </c>
      <c r="C41" s="281">
        <v>1</v>
      </c>
      <c r="D41" s="281">
        <v>2.66</v>
      </c>
      <c r="E41" s="281">
        <v>5.25</v>
      </c>
      <c r="F41" s="281">
        <v>1</v>
      </c>
      <c r="G41" s="281">
        <v>2.66</v>
      </c>
    </row>
    <row r="42" spans="1:7" s="175" customFormat="1" ht="11.45" customHeight="1">
      <c r="A42" s="1365">
        <v>2022</v>
      </c>
      <c r="B42" s="331">
        <f>MAX(B43:B54)</f>
        <v>7.75</v>
      </c>
      <c r="C42" s="331">
        <f>MIN(C43:C54)</f>
        <v>1</v>
      </c>
      <c r="D42" s="331">
        <f>AVERAGE(D43:D54)</f>
        <v>4.6524999999999999</v>
      </c>
      <c r="E42" s="331">
        <f>MAX(E43:E54)</f>
        <v>7.75</v>
      </c>
      <c r="F42" s="331">
        <f>MIN(F43:F54)</f>
        <v>1</v>
      </c>
      <c r="G42" s="331">
        <f>AVERAGE(G43:G54)</f>
        <v>4.6524999999999999</v>
      </c>
    </row>
    <row r="43" spans="1:7" s="175" customFormat="1" ht="11.45" customHeight="1">
      <c r="A43" s="424" t="s">
        <v>607</v>
      </c>
      <c r="B43" s="281">
        <v>5.25</v>
      </c>
      <c r="C43" s="281">
        <v>1</v>
      </c>
      <c r="D43" s="281">
        <v>2.4300000000000002</v>
      </c>
      <c r="E43" s="281">
        <v>5.25</v>
      </c>
      <c r="F43" s="281">
        <v>1</v>
      </c>
      <c r="G43" s="281">
        <v>2.4300000000000002</v>
      </c>
    </row>
    <row r="44" spans="1:7" s="175" customFormat="1" ht="11.45" customHeight="1">
      <c r="A44" s="438" t="s">
        <v>608</v>
      </c>
      <c r="B44" s="323">
        <v>5.25</v>
      </c>
      <c r="C44" s="323">
        <v>1</v>
      </c>
      <c r="D44" s="323">
        <v>2.8</v>
      </c>
      <c r="E44" s="323">
        <v>5.25</v>
      </c>
      <c r="F44" s="323">
        <v>1</v>
      </c>
      <c r="G44" s="323">
        <v>2.8</v>
      </c>
    </row>
    <row r="45" spans="1:7" s="175" customFormat="1" ht="11.45" customHeight="1">
      <c r="A45" s="424" t="s">
        <v>600</v>
      </c>
      <c r="B45" s="281">
        <v>5.25</v>
      </c>
      <c r="C45" s="281">
        <v>1</v>
      </c>
      <c r="D45" s="281">
        <v>2.66</v>
      </c>
      <c r="E45" s="281">
        <v>5.25</v>
      </c>
      <c r="F45" s="281">
        <v>1</v>
      </c>
      <c r="G45" s="281">
        <v>2.66</v>
      </c>
    </row>
    <row r="46" spans="1:7" s="175" customFormat="1" ht="11.45" customHeight="1">
      <c r="A46" s="438" t="s">
        <v>609</v>
      </c>
      <c r="B46" s="323">
        <v>5.25</v>
      </c>
      <c r="C46" s="323">
        <v>1</v>
      </c>
      <c r="D46" s="323">
        <v>4.58</v>
      </c>
      <c r="E46" s="323">
        <v>5.25</v>
      </c>
      <c r="F46" s="323">
        <v>1</v>
      </c>
      <c r="G46" s="323">
        <v>4.58</v>
      </c>
    </row>
    <row r="47" spans="1:7" s="175" customFormat="1" ht="11.45" customHeight="1">
      <c r="A47" s="424" t="s">
        <v>610</v>
      </c>
      <c r="B47" s="281">
        <v>5.5</v>
      </c>
      <c r="C47" s="281">
        <v>2.75</v>
      </c>
      <c r="D47" s="281">
        <v>4.7300000000000004</v>
      </c>
      <c r="E47" s="281">
        <v>5.5</v>
      </c>
      <c r="F47" s="281">
        <v>2.75</v>
      </c>
      <c r="G47" s="281">
        <v>4.7300000000000004</v>
      </c>
    </row>
    <row r="48" spans="1:7" s="175" customFormat="1" ht="11.45" customHeight="1">
      <c r="A48" s="438" t="s">
        <v>601</v>
      </c>
      <c r="B48" s="323">
        <v>5.5</v>
      </c>
      <c r="C48" s="323">
        <v>3</v>
      </c>
      <c r="D48" s="323">
        <v>4.88</v>
      </c>
      <c r="E48" s="323">
        <v>5.5</v>
      </c>
      <c r="F48" s="323">
        <v>3</v>
      </c>
      <c r="G48" s="323">
        <v>4.88</v>
      </c>
    </row>
    <row r="49" spans="1:7" s="175" customFormat="1" ht="11.45" customHeight="1">
      <c r="A49" s="424" t="s">
        <v>603</v>
      </c>
      <c r="B49" s="281">
        <v>6.5</v>
      </c>
      <c r="C49" s="281">
        <v>3.25</v>
      </c>
      <c r="D49" s="281">
        <v>5.34</v>
      </c>
      <c r="E49" s="281">
        <v>6.5</v>
      </c>
      <c r="F49" s="281">
        <v>3.25</v>
      </c>
      <c r="G49" s="281">
        <v>5.34</v>
      </c>
    </row>
    <row r="50" spans="1:7" s="175" customFormat="1" ht="11.45" customHeight="1">
      <c r="A50" s="438" t="s">
        <v>604</v>
      </c>
      <c r="B50" s="323">
        <v>6</v>
      </c>
      <c r="C50" s="323">
        <v>3.5</v>
      </c>
      <c r="D50" s="323">
        <v>5.49</v>
      </c>
      <c r="E50" s="323">
        <v>6</v>
      </c>
      <c r="F50" s="323">
        <v>3.5</v>
      </c>
      <c r="G50" s="323">
        <v>5.49</v>
      </c>
    </row>
    <row r="51" spans="1:7" s="175" customFormat="1" ht="11.45" customHeight="1">
      <c r="A51" s="424" t="s">
        <v>598</v>
      </c>
      <c r="B51" s="281">
        <v>6</v>
      </c>
      <c r="C51" s="281">
        <v>4.5</v>
      </c>
      <c r="D51" s="281">
        <v>5.53</v>
      </c>
      <c r="E51" s="281">
        <v>6</v>
      </c>
      <c r="F51" s="281">
        <v>4.5</v>
      </c>
      <c r="G51" s="281">
        <v>5.53</v>
      </c>
    </row>
    <row r="52" spans="1:7" s="175" customFormat="1" ht="11.45" customHeight="1">
      <c r="A52" s="438" t="s">
        <v>605</v>
      </c>
      <c r="B52" s="323">
        <v>7.75</v>
      </c>
      <c r="C52" s="323">
        <v>5</v>
      </c>
      <c r="D52" s="323">
        <v>5.79</v>
      </c>
      <c r="E52" s="323">
        <v>7.75</v>
      </c>
      <c r="F52" s="323">
        <v>5</v>
      </c>
      <c r="G52" s="323">
        <v>5.79</v>
      </c>
    </row>
    <row r="53" spans="1:7" s="175" customFormat="1" ht="11.45" customHeight="1">
      <c r="A53" s="424" t="s">
        <v>606</v>
      </c>
      <c r="B53" s="281">
        <v>6.25</v>
      </c>
      <c r="C53" s="281">
        <v>5</v>
      </c>
      <c r="D53" s="281">
        <v>5.8</v>
      </c>
      <c r="E53" s="281">
        <v>6.25</v>
      </c>
      <c r="F53" s="281">
        <v>5</v>
      </c>
      <c r="G53" s="281">
        <v>5.8</v>
      </c>
    </row>
    <row r="54" spans="1:7" s="175" customFormat="1" ht="11.45" customHeight="1" thickBot="1">
      <c r="A54" s="942" t="s">
        <v>599</v>
      </c>
      <c r="B54" s="524">
        <v>7.25</v>
      </c>
      <c r="C54" s="524">
        <v>5</v>
      </c>
      <c r="D54" s="524">
        <v>5.8</v>
      </c>
      <c r="E54" s="524">
        <v>7.25</v>
      </c>
      <c r="F54" s="524">
        <v>5</v>
      </c>
      <c r="G54" s="524">
        <v>5.8</v>
      </c>
    </row>
    <row r="55" spans="1:7">
      <c r="A55" s="123" t="s">
        <v>413</v>
      </c>
      <c r="B55" s="764" t="s">
        <v>1372</v>
      </c>
      <c r="C55" s="764"/>
      <c r="D55" s="764"/>
      <c r="E55" s="764"/>
      <c r="F55" s="68"/>
      <c r="G55" s="9"/>
    </row>
    <row r="58" spans="1:7">
      <c r="B58" s="90"/>
      <c r="C58" s="90"/>
      <c r="D58" s="90"/>
      <c r="E58" s="90"/>
      <c r="F58" s="90"/>
      <c r="G58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45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7"/>
  <sheetViews>
    <sheetView topLeftCell="AQ1" zoomScale="154" zoomScaleNormal="154" workbookViewId="0">
      <pane ySplit="6" topLeftCell="A50" activePane="bottomLeft" state="frozen"/>
      <selection activeCell="H48" sqref="H48"/>
      <selection pane="bottomLeft" activeCell="AQ58" sqref="AQ57:AQ5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845" t="s">
        <v>129</v>
      </c>
      <c r="J1" s="1845"/>
      <c r="K1" s="1845"/>
      <c r="L1" s="1845"/>
      <c r="M1" s="1845"/>
      <c r="N1" s="1845"/>
      <c r="O1" s="1845"/>
      <c r="P1" s="1845"/>
      <c r="Q1" s="1845"/>
      <c r="R1" s="231" t="s">
        <v>130</v>
      </c>
      <c r="W1" s="1837" t="s">
        <v>1775</v>
      </c>
      <c r="X1" s="1837"/>
      <c r="Y1" s="1837"/>
      <c r="Z1" s="1089"/>
      <c r="AE1" s="1826" t="s">
        <v>129</v>
      </c>
      <c r="AF1" s="1826"/>
      <c r="AG1" s="1826"/>
      <c r="AH1" s="1826"/>
      <c r="AI1" s="1850" t="s">
        <v>326</v>
      </c>
      <c r="AJ1" s="1775"/>
      <c r="AN1" s="1837" t="s">
        <v>327</v>
      </c>
      <c r="AO1" s="1837"/>
      <c r="AP1" s="1837"/>
      <c r="AQ1" s="232"/>
      <c r="AR1" s="233"/>
      <c r="AS1" s="233"/>
      <c r="AT1" s="233"/>
      <c r="AU1" s="233"/>
      <c r="AV1" s="1804" t="s">
        <v>129</v>
      </c>
      <c r="AW1" s="1804"/>
      <c r="AX1" s="1804"/>
      <c r="AY1" s="1803" t="s">
        <v>326</v>
      </c>
      <c r="AZ1" s="1803"/>
      <c r="BA1" s="1803"/>
      <c r="BB1" s="1803"/>
      <c r="BC1" s="1803"/>
      <c r="BD1" s="1803"/>
      <c r="BE1" s="1803"/>
      <c r="BF1" s="1837" t="s">
        <v>327</v>
      </c>
      <c r="BG1" s="1837"/>
      <c r="BH1" s="1837"/>
      <c r="BJ1" s="1089"/>
      <c r="BK1" s="1089"/>
      <c r="BL1" s="1089"/>
      <c r="BM1" s="1089"/>
      <c r="BN1" s="1089"/>
      <c r="BO1" s="1089"/>
      <c r="BP1" s="1804" t="s">
        <v>129</v>
      </c>
      <c r="BQ1" s="1804"/>
      <c r="BR1" s="1804"/>
      <c r="BS1" s="1804"/>
      <c r="BT1" s="1804"/>
      <c r="BU1" s="1803" t="s">
        <v>326</v>
      </c>
      <c r="BV1" s="1803"/>
      <c r="BW1" s="1803"/>
      <c r="BX1" s="131"/>
      <c r="BY1" s="131"/>
      <c r="CB1" s="131"/>
      <c r="CC1" s="1801" t="s">
        <v>616</v>
      </c>
      <c r="CD1" s="1801"/>
      <c r="CE1" s="1801"/>
    </row>
    <row r="2" spans="3:85" s="42" customFormat="1" ht="11.25" customHeight="1">
      <c r="I2" s="234"/>
      <c r="J2" s="234"/>
      <c r="K2" s="234"/>
      <c r="L2" s="234"/>
      <c r="M2" s="234"/>
      <c r="N2" s="234"/>
      <c r="O2" s="234"/>
      <c r="P2" s="1834" t="s">
        <v>1427</v>
      </c>
      <c r="Q2" s="1834"/>
      <c r="R2" s="42" t="s">
        <v>325</v>
      </c>
      <c r="X2" s="1827" t="s">
        <v>1776</v>
      </c>
      <c r="Y2" s="1827"/>
      <c r="Z2" s="1116"/>
      <c r="AF2" s="1116"/>
      <c r="AG2" s="1835" t="s">
        <v>1427</v>
      </c>
      <c r="AH2" s="1835"/>
      <c r="AI2" s="42" t="s">
        <v>325</v>
      </c>
      <c r="AN2" s="1116"/>
      <c r="AO2" s="1835" t="s">
        <v>24</v>
      </c>
      <c r="AP2" s="1836"/>
      <c r="AQ2" s="235"/>
      <c r="AR2" s="235"/>
      <c r="AS2" s="235"/>
      <c r="AT2" s="235"/>
      <c r="AU2" s="235"/>
      <c r="AV2" s="235"/>
      <c r="AW2" s="1834" t="s">
        <v>1428</v>
      </c>
      <c r="AX2" s="1834"/>
      <c r="AY2" s="1090" t="s">
        <v>325</v>
      </c>
      <c r="AZ2" s="1116"/>
      <c r="BA2" s="1116"/>
      <c r="BB2" s="1116"/>
      <c r="BC2" s="1116"/>
      <c r="BD2" s="1116"/>
      <c r="BE2" s="1116"/>
      <c r="BF2" s="1116"/>
      <c r="BG2" s="1835" t="s">
        <v>24</v>
      </c>
      <c r="BH2" s="1836"/>
      <c r="BJ2" s="1116"/>
      <c r="BK2" s="1116"/>
      <c r="BL2" s="1116"/>
      <c r="BM2" s="1116"/>
      <c r="BN2" s="1116"/>
      <c r="BO2" s="1116"/>
      <c r="BP2" s="235"/>
      <c r="BQ2" s="235"/>
      <c r="BS2" s="1814" t="s">
        <v>1429</v>
      </c>
      <c r="BT2" s="1814"/>
      <c r="BU2" s="1805" t="s">
        <v>325</v>
      </c>
      <c r="BV2" s="1805"/>
      <c r="BW2" s="1116"/>
      <c r="BX2" s="1116"/>
      <c r="BY2" s="1116"/>
      <c r="CB2" s="543"/>
      <c r="CC2" s="109"/>
      <c r="CD2" s="1802" t="s">
        <v>24</v>
      </c>
      <c r="CE2" s="1802"/>
    </row>
    <row r="3" spans="3:85" s="249" customFormat="1" ht="24.75" customHeight="1">
      <c r="I3" s="1789" t="s">
        <v>1508</v>
      </c>
      <c r="J3" s="1792" t="s">
        <v>124</v>
      </c>
      <c r="K3" s="1793"/>
      <c r="L3" s="1794"/>
      <c r="M3" s="1786" t="s">
        <v>182</v>
      </c>
      <c r="N3" s="1786" t="s">
        <v>1053</v>
      </c>
      <c r="O3" s="1797" t="s">
        <v>676</v>
      </c>
      <c r="P3" s="1798"/>
      <c r="Q3" s="1799"/>
      <c r="R3" s="1795" t="s">
        <v>183</v>
      </c>
      <c r="S3" s="1795"/>
      <c r="T3" s="1796"/>
      <c r="U3" s="1831" t="s">
        <v>421</v>
      </c>
      <c r="V3" s="1792" t="s">
        <v>128</v>
      </c>
      <c r="W3" s="1793"/>
      <c r="X3" s="1793"/>
      <c r="Y3" s="1794"/>
      <c r="Z3" s="1846" t="s">
        <v>1054</v>
      </c>
      <c r="AA3" s="1823" t="s">
        <v>422</v>
      </c>
      <c r="AB3" s="1823"/>
      <c r="AC3" s="1823"/>
      <c r="AD3" s="1823"/>
      <c r="AE3" s="1812" t="s">
        <v>1386</v>
      </c>
      <c r="AF3" s="1812"/>
      <c r="AG3" s="1812"/>
      <c r="AH3" s="1812"/>
      <c r="AI3" s="1823" t="s">
        <v>423</v>
      </c>
      <c r="AJ3" s="1823"/>
      <c r="AK3" s="1823"/>
      <c r="AL3" s="1823"/>
      <c r="AM3" s="1812" t="s">
        <v>1067</v>
      </c>
      <c r="AN3" s="1812"/>
      <c r="AO3" s="1812"/>
      <c r="AP3" s="1812"/>
      <c r="AQ3" s="1839" t="s">
        <v>1054</v>
      </c>
      <c r="AR3" s="1823" t="s">
        <v>22</v>
      </c>
      <c r="AS3" s="1823"/>
      <c r="AT3" s="1823"/>
      <c r="AU3" s="1823"/>
      <c r="AV3" s="1823" t="s">
        <v>158</v>
      </c>
      <c r="AW3" s="1823"/>
      <c r="AX3" s="1823"/>
      <c r="AY3" s="1823" t="s">
        <v>1472</v>
      </c>
      <c r="AZ3" s="1823"/>
      <c r="BA3" s="1823"/>
      <c r="BB3" s="1788" t="s">
        <v>290</v>
      </c>
      <c r="BC3" s="1788" t="s">
        <v>825</v>
      </c>
      <c r="BD3" s="1812" t="s">
        <v>714</v>
      </c>
      <c r="BE3" s="1812"/>
      <c r="BF3" s="1812"/>
      <c r="BG3" s="1812"/>
      <c r="BH3" s="1812"/>
      <c r="BI3" s="1789" t="s">
        <v>1054</v>
      </c>
      <c r="BJ3" s="1812" t="s">
        <v>134</v>
      </c>
      <c r="BK3" s="1812"/>
      <c r="BL3" s="1812"/>
      <c r="BM3" s="1813"/>
      <c r="BN3" s="1812"/>
      <c r="BO3" s="1788" t="s">
        <v>135</v>
      </c>
      <c r="BP3" s="1818" t="s">
        <v>2254</v>
      </c>
      <c r="BQ3" s="1819"/>
      <c r="BR3" s="1819"/>
      <c r="BS3" s="1819"/>
      <c r="BT3" s="1820"/>
      <c r="BU3" s="1812" t="s">
        <v>196</v>
      </c>
      <c r="BV3" s="1812"/>
      <c r="BW3" s="1812"/>
      <c r="BX3" s="1812"/>
      <c r="BY3" s="1812"/>
      <c r="BZ3" s="1812"/>
      <c r="CA3" s="1812"/>
      <c r="CB3" s="1812"/>
      <c r="CC3" s="1812"/>
      <c r="CD3" s="1812"/>
      <c r="CE3" s="1812"/>
    </row>
    <row r="4" spans="3:85" s="249" customFormat="1" ht="27" customHeight="1">
      <c r="I4" s="1790"/>
      <c r="J4" s="1788" t="s">
        <v>1460</v>
      </c>
      <c r="K4" s="1788" t="s">
        <v>1358</v>
      </c>
      <c r="L4" s="1786" t="s">
        <v>1026</v>
      </c>
      <c r="M4" s="1847"/>
      <c r="N4" s="1848"/>
      <c r="O4" s="1786" t="s">
        <v>1055</v>
      </c>
      <c r="P4" s="1786" t="s">
        <v>194</v>
      </c>
      <c r="Q4" s="1087" t="s">
        <v>125</v>
      </c>
      <c r="R4" s="1824" t="s">
        <v>533</v>
      </c>
      <c r="S4" s="1825"/>
      <c r="T4" s="1830" t="s">
        <v>842</v>
      </c>
      <c r="U4" s="1832"/>
      <c r="V4" s="1786" t="s">
        <v>2075</v>
      </c>
      <c r="W4" s="1788" t="s">
        <v>1490</v>
      </c>
      <c r="X4" s="1828" t="s">
        <v>1773</v>
      </c>
      <c r="Y4" s="1788" t="s">
        <v>1774</v>
      </c>
      <c r="Z4" s="1846"/>
      <c r="AA4" s="1788" t="s">
        <v>195</v>
      </c>
      <c r="AB4" s="1788" t="s">
        <v>185</v>
      </c>
      <c r="AC4" s="1788" t="s">
        <v>184</v>
      </c>
      <c r="AD4" s="1788" t="s">
        <v>709</v>
      </c>
      <c r="AE4" s="1788" t="s">
        <v>1058</v>
      </c>
      <c r="AF4" s="1788" t="s">
        <v>186</v>
      </c>
      <c r="AG4" s="1788" t="s">
        <v>1059</v>
      </c>
      <c r="AH4" s="1788" t="s">
        <v>710</v>
      </c>
      <c r="AI4" s="1788" t="s">
        <v>1060</v>
      </c>
      <c r="AJ4" s="1788" t="s">
        <v>1061</v>
      </c>
      <c r="AK4" s="1788" t="s">
        <v>1062</v>
      </c>
      <c r="AL4" s="1788" t="s">
        <v>711</v>
      </c>
      <c r="AM4" s="1788" t="s">
        <v>712</v>
      </c>
      <c r="AN4" s="1838" t="s">
        <v>2148</v>
      </c>
      <c r="AO4" s="1788" t="s">
        <v>1063</v>
      </c>
      <c r="AP4" s="1788" t="s">
        <v>841</v>
      </c>
      <c r="AQ4" s="1840"/>
      <c r="AR4" s="1788" t="s">
        <v>1064</v>
      </c>
      <c r="AS4" s="1788" t="s">
        <v>1065</v>
      </c>
      <c r="AT4" s="1788" t="s">
        <v>1068</v>
      </c>
      <c r="AU4" s="1788" t="s">
        <v>1066</v>
      </c>
      <c r="AV4" s="1788" t="s">
        <v>23</v>
      </c>
      <c r="AW4" s="1788" t="s">
        <v>1137</v>
      </c>
      <c r="AX4" s="1788" t="s">
        <v>713</v>
      </c>
      <c r="AY4" s="1788" t="s">
        <v>2708</v>
      </c>
      <c r="AZ4" s="1788" t="s">
        <v>1477</v>
      </c>
      <c r="BA4" s="1800" t="s">
        <v>520</v>
      </c>
      <c r="BB4" s="1788"/>
      <c r="BC4" s="1788"/>
      <c r="BD4" s="1800" t="s">
        <v>131</v>
      </c>
      <c r="BE4" s="1800"/>
      <c r="BF4" s="1800" t="s">
        <v>132</v>
      </c>
      <c r="BG4" s="1800"/>
      <c r="BH4" s="1788" t="s">
        <v>1475</v>
      </c>
      <c r="BI4" s="1790"/>
      <c r="BJ4" s="1788" t="s">
        <v>137</v>
      </c>
      <c r="BK4" s="1788" t="s">
        <v>138</v>
      </c>
      <c r="BL4" s="1817" t="s">
        <v>189</v>
      </c>
      <c r="BM4" s="1786" t="s">
        <v>143</v>
      </c>
      <c r="BN4" s="1786" t="s">
        <v>1491</v>
      </c>
      <c r="BO4" s="1788"/>
      <c r="BP4" s="1817" t="s">
        <v>2255</v>
      </c>
      <c r="BQ4" s="1821"/>
      <c r="BR4" s="1821"/>
      <c r="BS4" s="1822"/>
      <c r="BT4" s="1815" t="s">
        <v>2276</v>
      </c>
      <c r="BU4" s="1806" t="s">
        <v>865</v>
      </c>
      <c r="BV4" s="1806" t="s">
        <v>2273</v>
      </c>
      <c r="BW4" s="1806" t="s">
        <v>2274</v>
      </c>
      <c r="BX4" s="1811" t="s">
        <v>1101</v>
      </c>
      <c r="BY4" s="1787" t="s">
        <v>139</v>
      </c>
      <c r="BZ4" s="1808" t="s">
        <v>2147</v>
      </c>
      <c r="CA4" s="1809"/>
      <c r="CB4" s="1810"/>
      <c r="CC4" s="1808" t="s">
        <v>1338</v>
      </c>
      <c r="CD4" s="1809"/>
      <c r="CE4" s="1810"/>
    </row>
    <row r="5" spans="3:85" s="249" customFormat="1" ht="45.6" customHeight="1">
      <c r="H5" s="185"/>
      <c r="I5" s="1790"/>
      <c r="J5" s="1788"/>
      <c r="K5" s="1788"/>
      <c r="L5" s="1787"/>
      <c r="M5" s="1787"/>
      <c r="N5" s="1849"/>
      <c r="O5" s="1787"/>
      <c r="P5" s="1787"/>
      <c r="Q5" s="1086" t="s">
        <v>615</v>
      </c>
      <c r="R5" s="1086" t="s">
        <v>1056</v>
      </c>
      <c r="S5" s="1086" t="s">
        <v>1057</v>
      </c>
      <c r="T5" s="1788"/>
      <c r="U5" s="1832"/>
      <c r="V5" s="1787"/>
      <c r="W5" s="1788"/>
      <c r="X5" s="1829"/>
      <c r="Y5" s="1788"/>
      <c r="Z5" s="1846"/>
      <c r="AA5" s="1788"/>
      <c r="AB5" s="1788"/>
      <c r="AC5" s="1788"/>
      <c r="AD5" s="1788"/>
      <c r="AE5" s="1788"/>
      <c r="AF5" s="1788"/>
      <c r="AG5" s="1788"/>
      <c r="AH5" s="1788"/>
      <c r="AI5" s="1788"/>
      <c r="AJ5" s="1788"/>
      <c r="AK5" s="1788"/>
      <c r="AL5" s="1788"/>
      <c r="AM5" s="1788"/>
      <c r="AN5" s="1838"/>
      <c r="AO5" s="1788"/>
      <c r="AP5" s="1788"/>
      <c r="AQ5" s="1840"/>
      <c r="AR5" s="1788"/>
      <c r="AS5" s="1788"/>
      <c r="AT5" s="1788"/>
      <c r="AU5" s="1788"/>
      <c r="AV5" s="1788"/>
      <c r="AW5" s="1788"/>
      <c r="AX5" s="1788"/>
      <c r="AY5" s="1788"/>
      <c r="AZ5" s="1788"/>
      <c r="BA5" s="1800"/>
      <c r="BB5" s="1788"/>
      <c r="BC5" s="1788"/>
      <c r="BD5" s="1088" t="s">
        <v>1476</v>
      </c>
      <c r="BE5" s="1085" t="s">
        <v>188</v>
      </c>
      <c r="BF5" s="1088" t="s">
        <v>133</v>
      </c>
      <c r="BG5" s="1085" t="s">
        <v>188</v>
      </c>
      <c r="BH5" s="1788"/>
      <c r="BI5" s="1790"/>
      <c r="BJ5" s="1788"/>
      <c r="BK5" s="1788"/>
      <c r="BL5" s="1817"/>
      <c r="BM5" s="1787"/>
      <c r="BN5" s="1787"/>
      <c r="BO5" s="1788"/>
      <c r="BP5" s="1246" t="s">
        <v>2256</v>
      </c>
      <c r="BQ5" s="1255" t="s">
        <v>146</v>
      </c>
      <c r="BR5" s="1246" t="s">
        <v>147</v>
      </c>
      <c r="BS5" s="1246" t="s">
        <v>926</v>
      </c>
      <c r="BT5" s="1816"/>
      <c r="BU5" s="1807"/>
      <c r="BV5" s="1807"/>
      <c r="BW5" s="1807"/>
      <c r="BX5" s="1806"/>
      <c r="BY5" s="1788"/>
      <c r="BZ5" s="1091" t="s">
        <v>140</v>
      </c>
      <c r="CA5" s="1092" t="s">
        <v>141</v>
      </c>
      <c r="CB5" s="1245" t="s">
        <v>2257</v>
      </c>
      <c r="CC5" s="1092" t="s">
        <v>140</v>
      </c>
      <c r="CD5" s="1092" t="s">
        <v>141</v>
      </c>
      <c r="CE5" s="1245" t="s">
        <v>2258</v>
      </c>
    </row>
    <row r="6" spans="3:85" s="141" customFormat="1" ht="13.5" customHeight="1">
      <c r="I6" s="1791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46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41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791"/>
      <c r="BJ6" s="1108">
        <v>50</v>
      </c>
      <c r="BK6" s="1108">
        <v>51</v>
      </c>
      <c r="BL6" s="1108">
        <v>52</v>
      </c>
      <c r="BM6" s="1108">
        <v>53</v>
      </c>
      <c r="BN6" s="1108">
        <v>54</v>
      </c>
      <c r="BO6" s="1108">
        <v>55</v>
      </c>
      <c r="BP6" s="1108">
        <v>56</v>
      </c>
      <c r="BQ6" s="1249">
        <v>57</v>
      </c>
      <c r="BR6" s="1108">
        <v>58</v>
      </c>
      <c r="BS6" s="1108">
        <v>59</v>
      </c>
      <c r="BT6" s="1108">
        <v>60</v>
      </c>
      <c r="BU6" s="1108">
        <v>61</v>
      </c>
      <c r="BV6" s="1108">
        <v>62</v>
      </c>
      <c r="BW6" s="1108">
        <v>63</v>
      </c>
      <c r="BX6" s="1108">
        <v>64</v>
      </c>
      <c r="BY6" s="1108">
        <v>65</v>
      </c>
      <c r="BZ6" s="1108">
        <v>66</v>
      </c>
      <c r="CA6" s="1108">
        <v>67</v>
      </c>
      <c r="CB6" s="140">
        <v>68</v>
      </c>
      <c r="CC6" s="1108">
        <v>69</v>
      </c>
      <c r="CD6" s="140">
        <v>70</v>
      </c>
      <c r="CE6" s="1108">
        <v>71</v>
      </c>
    </row>
    <row r="7" spans="3:85" s="28" customFormat="1" ht="11.45" customHeight="1">
      <c r="I7" s="257" t="s">
        <v>81</v>
      </c>
      <c r="J7" s="25">
        <v>49947.3</v>
      </c>
      <c r="K7" s="1012">
        <v>518.1</v>
      </c>
      <c r="L7" s="27">
        <v>50465.4</v>
      </c>
      <c r="M7" s="1012">
        <v>4308.3</v>
      </c>
      <c r="N7" s="27">
        <v>46157.1</v>
      </c>
      <c r="O7" s="25">
        <v>7971.5</v>
      </c>
      <c r="P7" s="1012">
        <v>20181.099999999999</v>
      </c>
      <c r="Q7" s="1012">
        <v>41621.800000000003</v>
      </c>
      <c r="R7" s="25">
        <v>275042.8</v>
      </c>
      <c r="S7" s="1012">
        <v>316664.59999999998</v>
      </c>
      <c r="T7" s="25">
        <v>336845.69999999995</v>
      </c>
      <c r="U7" s="1012">
        <v>209.4</v>
      </c>
      <c r="V7" s="1012">
        <v>74142.799999999988</v>
      </c>
      <c r="W7" s="25">
        <v>87988.299999999988</v>
      </c>
      <c r="X7" s="25">
        <v>363031.1</v>
      </c>
      <c r="Y7" s="1012">
        <v>429337.2</v>
      </c>
      <c r="Z7" s="257" t="s">
        <v>81</v>
      </c>
      <c r="AA7" s="27">
        <v>0</v>
      </c>
      <c r="AB7" s="25">
        <v>10726.3</v>
      </c>
      <c r="AC7" s="1012">
        <v>253455.9</v>
      </c>
      <c r="AD7" s="1012">
        <v>264182.2</v>
      </c>
      <c r="AE7" s="27">
        <v>0</v>
      </c>
      <c r="AF7" s="25">
        <v>3865.2</v>
      </c>
      <c r="AG7" s="1012">
        <v>10202.4</v>
      </c>
      <c r="AH7" s="1012">
        <v>14067.599999999999</v>
      </c>
      <c r="AI7" s="1012">
        <v>2127.4</v>
      </c>
      <c r="AJ7" s="1012">
        <v>51891.3</v>
      </c>
      <c r="AK7" s="25">
        <v>4513.7</v>
      </c>
      <c r="AL7" s="25">
        <v>56405</v>
      </c>
      <c r="AM7" s="25">
        <v>2127.4</v>
      </c>
      <c r="AN7" s="1012">
        <v>66482.8</v>
      </c>
      <c r="AO7" s="25">
        <v>268172</v>
      </c>
      <c r="AP7" s="25">
        <v>334654.8</v>
      </c>
      <c r="AQ7" s="257" t="s">
        <v>81</v>
      </c>
      <c r="AR7" s="1012">
        <v>1749.5</v>
      </c>
      <c r="AS7" s="25">
        <v>5852.1</v>
      </c>
      <c r="AT7" s="1012">
        <v>5087.3</v>
      </c>
      <c r="AU7" s="1012">
        <v>1561.7</v>
      </c>
      <c r="AV7" s="1012">
        <v>336869.7</v>
      </c>
      <c r="AW7" s="1012">
        <v>3885.6</v>
      </c>
      <c r="AX7" s="1012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2">
        <v>863330.4</v>
      </c>
      <c r="BC7" s="27">
        <v>81350</v>
      </c>
      <c r="BD7" s="25">
        <v>5.0999999999999996</v>
      </c>
      <c r="BE7" s="1012">
        <v>21788.2</v>
      </c>
      <c r="BF7" s="1012">
        <v>3141.2</v>
      </c>
      <c r="BG7" s="1012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53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15">
        <v>11.31</v>
      </c>
      <c r="CB7" s="26">
        <f t="shared" ref="CB7:CB10" si="1">CA7-BZ7</f>
        <v>5.3000000000000007</v>
      </c>
      <c r="CC7" s="245" t="s">
        <v>305</v>
      </c>
      <c r="CD7" s="247" t="s">
        <v>305</v>
      </c>
      <c r="CE7" s="18" t="s">
        <v>305</v>
      </c>
    </row>
    <row r="8" spans="3:85" s="1012" customFormat="1" ht="11.45" customHeight="1">
      <c r="I8" s="325" t="s">
        <v>198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198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198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198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305</v>
      </c>
      <c r="CD8" s="541" t="s">
        <v>305</v>
      </c>
      <c r="CE8" s="542" t="s">
        <v>305</v>
      </c>
    </row>
    <row r="9" spans="3:85" s="29" customFormat="1" ht="11.45" customHeight="1">
      <c r="I9" s="552" t="s">
        <v>929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929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929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929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305</v>
      </c>
      <c r="CD9" s="553" t="s">
        <v>305</v>
      </c>
      <c r="CE9" s="249" t="s">
        <v>305</v>
      </c>
    </row>
    <row r="10" spans="3:85" s="29" customFormat="1" ht="11.45" customHeight="1">
      <c r="I10" s="325" t="s">
        <v>905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905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905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905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  <c r="CF10" s="30"/>
      <c r="CG10" s="30"/>
    </row>
    <row r="11" spans="3:85" s="280" customFormat="1" ht="11.45" customHeight="1">
      <c r="I11" s="250" t="s">
        <v>1104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1104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1104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1104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5" s="280" customFormat="1" ht="11.45" customHeight="1">
      <c r="I12" s="315" t="s">
        <v>1163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1163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1163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1163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5" s="280" customFormat="1" ht="11.45" customHeight="1">
      <c r="C13" s="1833" t="s">
        <v>1623</v>
      </c>
      <c r="D13" s="1833"/>
      <c r="E13" s="1833"/>
      <c r="F13" s="1833"/>
      <c r="G13" s="1833"/>
      <c r="I13" s="250" t="s">
        <v>1295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1295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1295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55674.157500000001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1295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70">
        <v>75</v>
      </c>
      <c r="BT13" s="870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5" s="280" customFormat="1" ht="11.45" customHeight="1">
      <c r="C14" s="1833"/>
      <c r="D14" s="1833"/>
      <c r="E14" s="1833"/>
      <c r="F14" s="1833"/>
      <c r="G14" s="1833"/>
      <c r="I14" s="315" t="s">
        <v>1328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1328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1328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1328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5">
        <v>71</v>
      </c>
      <c r="BT14" s="965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5" s="280" customFormat="1" ht="11.45" customHeight="1">
      <c r="H15" s="175"/>
      <c r="I15" s="1186" t="s">
        <v>1467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86" t="s">
        <v>1467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86" t="s">
        <v>1467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57843.010499999997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86" t="s">
        <v>1467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70">
        <v>74</v>
      </c>
      <c r="BT15" s="870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  <c r="CF15" s="281"/>
      <c r="CG15" s="281"/>
    </row>
    <row r="16" spans="3:85" s="490" customFormat="1" ht="11.45" customHeight="1">
      <c r="I16" s="332" t="s">
        <v>1596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1596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1596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63527.436500000003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1596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5">
        <v>1483</v>
      </c>
      <c r="BR16" s="965">
        <v>5094</v>
      </c>
      <c r="BS16" s="965">
        <v>68</v>
      </c>
      <c r="BT16" s="965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6" s="177" customFormat="1" ht="11.45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1691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1691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1691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51201.911999999997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1691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6" s="177" customFormat="1" ht="11.45" customHeight="1">
      <c r="A18" s="175"/>
      <c r="B18" s="175"/>
      <c r="C18" s="175"/>
      <c r="D18" s="175"/>
      <c r="E18" s="175"/>
      <c r="F18" s="175"/>
      <c r="G18" s="948"/>
      <c r="H18" s="948"/>
      <c r="I18" s="334" t="s">
        <v>1760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1760</v>
      </c>
      <c r="AA18" s="603">
        <f t="shared" ref="AA18:AD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ref="AE18:AP18" si="5">AE30</f>
        <v>0</v>
      </c>
      <c r="AF18" s="603">
        <f t="shared" si="5"/>
        <v>1788.7</v>
      </c>
      <c r="AG18" s="603">
        <f t="shared" si="5"/>
        <v>22235.9</v>
      </c>
      <c r="AH18" s="603">
        <f t="shared" si="5"/>
        <v>24024.600000000002</v>
      </c>
      <c r="AI18" s="603">
        <f t="shared" si="5"/>
        <v>29531.4</v>
      </c>
      <c r="AJ18" s="603">
        <f t="shared" si="5"/>
        <v>299276.3</v>
      </c>
      <c r="AK18" s="603">
        <f t="shared" si="5"/>
        <v>21206.9</v>
      </c>
      <c r="AL18" s="603">
        <f t="shared" si="5"/>
        <v>320483.20000000001</v>
      </c>
      <c r="AM18" s="603">
        <f t="shared" si="5"/>
        <v>29531.4</v>
      </c>
      <c r="AN18" s="603">
        <f t="shared" si="5"/>
        <v>327982.39999999997</v>
      </c>
      <c r="AO18" s="603">
        <f t="shared" si="5"/>
        <v>1183016.8999999999</v>
      </c>
      <c r="AP18" s="603">
        <f t="shared" si="5"/>
        <v>1510999.3</v>
      </c>
      <c r="AQ18" s="334" t="s">
        <v>1760</v>
      </c>
      <c r="AR18" s="603">
        <f t="shared" ref="AR18:BH18" si="6">AR30</f>
        <v>7539</v>
      </c>
      <c r="AS18" s="603">
        <f t="shared" si="6"/>
        <v>73626.100000000006</v>
      </c>
      <c r="AT18" s="603">
        <f t="shared" si="6"/>
        <v>37421.1</v>
      </c>
      <c r="AU18" s="603">
        <f t="shared" si="6"/>
        <v>75.3</v>
      </c>
      <c r="AV18" s="603">
        <f t="shared" si="6"/>
        <v>1446984.11</v>
      </c>
      <c r="AW18" s="603">
        <f t="shared" si="6"/>
        <v>9967.1</v>
      </c>
      <c r="AX18" s="603">
        <f t="shared" si="6"/>
        <v>1456951.2100000002</v>
      </c>
      <c r="AY18" s="603">
        <f t="shared" si="6"/>
        <v>58278.048400000007</v>
      </c>
      <c r="AZ18" s="603">
        <f t="shared" si="6"/>
        <v>62314.271199999996</v>
      </c>
      <c r="BA18" s="603">
        <f t="shared" si="6"/>
        <v>120592.3196</v>
      </c>
      <c r="BB18" s="603">
        <f t="shared" si="6"/>
        <v>3842083.7</v>
      </c>
      <c r="BC18" s="603">
        <f t="shared" si="6"/>
        <v>347480.61960000003</v>
      </c>
      <c r="BD18" s="603">
        <f t="shared" si="6"/>
        <v>4126.8</v>
      </c>
      <c r="BE18" s="603">
        <f t="shared" si="6"/>
        <v>29712.3</v>
      </c>
      <c r="BF18" s="603">
        <f t="shared" si="6"/>
        <v>5780.6</v>
      </c>
      <c r="BG18" s="603">
        <f t="shared" si="6"/>
        <v>295402.2</v>
      </c>
      <c r="BH18" s="603">
        <f t="shared" si="6"/>
        <v>335021.89999999997</v>
      </c>
      <c r="BI18" s="334" t="s">
        <v>1760</v>
      </c>
      <c r="BJ18" s="671">
        <f>BJ30</f>
        <v>22.01</v>
      </c>
      <c r="BK18" s="671">
        <f t="shared" ref="BK18:BN18" si="7">BK30</f>
        <v>2.75</v>
      </c>
      <c r="BL18" s="671">
        <f t="shared" si="7"/>
        <v>8.35</v>
      </c>
      <c r="BM18" s="671">
        <f t="shared" si="7"/>
        <v>10.11</v>
      </c>
      <c r="BN18" s="671">
        <f t="shared" si="7"/>
        <v>13.62</v>
      </c>
      <c r="BO18" s="366">
        <v>2.2616411235269913</v>
      </c>
      <c r="BP18" s="712">
        <f t="shared" ref="BP18" si="8">BP30</f>
        <v>3801</v>
      </c>
      <c r="BQ18" s="712">
        <f>BQ30</f>
        <v>1504</v>
      </c>
      <c r="BR18" s="712">
        <f>BR30</f>
        <v>5421</v>
      </c>
      <c r="BS18" s="712">
        <f>BS30</f>
        <v>67</v>
      </c>
      <c r="BT18" s="712">
        <f t="shared" ref="BT18" si="9">BT30</f>
        <v>10793</v>
      </c>
      <c r="BU18" s="671">
        <f t="shared" ref="BU18:CE18" si="10">BU30</f>
        <v>104.42404236215144</v>
      </c>
      <c r="BV18" s="671">
        <f t="shared" si="10"/>
        <v>134.06690540164922</v>
      </c>
      <c r="BW18" s="671">
        <f t="shared" si="10"/>
        <v>139.99808209024368</v>
      </c>
      <c r="BX18" s="671">
        <f t="shared" si="10"/>
        <v>9.5345151786082845</v>
      </c>
      <c r="BY18" s="671">
        <f t="shared" si="10"/>
        <v>4</v>
      </c>
      <c r="BZ18" s="671">
        <f t="shared" si="10"/>
        <v>4.13</v>
      </c>
      <c r="CA18" s="671">
        <f t="shared" si="10"/>
        <v>7.33</v>
      </c>
      <c r="CB18" s="671">
        <f t="shared" si="10"/>
        <v>3.2</v>
      </c>
      <c r="CC18" s="671">
        <f t="shared" si="10"/>
        <v>7.82</v>
      </c>
      <c r="CD18" s="671">
        <f t="shared" si="10"/>
        <v>11.19</v>
      </c>
      <c r="CE18" s="671">
        <f t="shared" si="10"/>
        <v>3.3699999999999992</v>
      </c>
    </row>
    <row r="19" spans="1:86" s="177" customFormat="1" ht="11.45" customHeight="1">
      <c r="A19" s="175"/>
      <c r="B19" s="175"/>
      <c r="C19" s="175"/>
      <c r="D19" s="175"/>
      <c r="E19" s="175"/>
      <c r="F19" s="175"/>
      <c r="G19" s="948"/>
      <c r="H19" s="948"/>
      <c r="I19" s="152" t="s">
        <v>603</v>
      </c>
      <c r="J19" s="508">
        <v>223127.4</v>
      </c>
      <c r="K19" s="508">
        <v>1541.7</v>
      </c>
      <c r="L19" s="508">
        <f t="shared" ref="L19:L49" si="11">J19+K19</f>
        <v>224669.1</v>
      </c>
      <c r="M19" s="508">
        <v>13685.3</v>
      </c>
      <c r="N19" s="508">
        <f t="shared" ref="N19:N45" si="12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49" si="13">Q19+R19</f>
        <v>1193393.2</v>
      </c>
      <c r="T19" s="508">
        <f t="shared" ref="T19:T49" si="14">P19+S19</f>
        <v>1278818</v>
      </c>
      <c r="U19" s="508">
        <v>501.3</v>
      </c>
      <c r="V19" s="508">
        <v>291913.3</v>
      </c>
      <c r="W19" s="508">
        <f t="shared" ref="W19:W45" si="15">N19+Q19+U19</f>
        <v>339874.10000000003</v>
      </c>
      <c r="X19" s="508">
        <f t="shared" ref="X19:X45" si="16">R19+W19</f>
        <v>1404878.3</v>
      </c>
      <c r="Y19" s="508">
        <v>1738811.8</v>
      </c>
      <c r="Z19" s="175" t="s">
        <v>603</v>
      </c>
      <c r="AA19" s="252">
        <v>0</v>
      </c>
      <c r="AB19" s="508">
        <v>26163.7</v>
      </c>
      <c r="AC19" s="508">
        <v>1048906.6000000001</v>
      </c>
      <c r="AD19" s="508">
        <f t="shared" ref="AD19:AD49" si="17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49" si="18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49" si="19">AJ19+AK19</f>
        <v>267455.40000000002</v>
      </c>
      <c r="AM19" s="521">
        <f t="shared" ref="AM19:AP43" si="20">AA19+AE19+AI19</f>
        <v>25291.599999999999</v>
      </c>
      <c r="AN19" s="521">
        <f t="shared" si="20"/>
        <v>276320.40000000002</v>
      </c>
      <c r="AO19" s="521">
        <f t="shared" si="20"/>
        <v>1090075.5</v>
      </c>
      <c r="AP19" s="521">
        <f t="shared" si="20"/>
        <v>1366395.9</v>
      </c>
      <c r="AQ19" s="175" t="s">
        <v>603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8" si="21">AV19+AW19</f>
        <v>1290552.0999999999</v>
      </c>
      <c r="AY19" s="508">
        <f>0.04*AX19</f>
        <v>51622.083999999995</v>
      </c>
      <c r="AZ19" s="508">
        <f t="shared" ref="AZ19:AZ36" si="22">BA19-AY19</f>
        <v>15116.500800000002</v>
      </c>
      <c r="BA19" s="251">
        <f>66742.9-4.3152</f>
        <v>66738.584799999997</v>
      </c>
      <c r="BB19" s="508">
        <v>3388775.5</v>
      </c>
      <c r="BC19" s="508">
        <f t="shared" ref="BC19:BC34" si="23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49" si="24">BG19+BF19+BE19+BD19</f>
        <v>294165.40000000002</v>
      </c>
      <c r="BI19" s="175" t="s">
        <v>603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305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5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6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49" si="27">CA19-BZ19</f>
        <v>2.7700000000000005</v>
      </c>
      <c r="CC19" s="281">
        <v>9.5</v>
      </c>
      <c r="CD19" s="281">
        <v>12.87</v>
      </c>
      <c r="CE19" s="281">
        <f t="shared" ref="CE19:CE49" si="28">CD19-CC19</f>
        <v>3.3699999999999992</v>
      </c>
    </row>
    <row r="20" spans="1:86" s="177" customFormat="1" ht="11.45" customHeight="1">
      <c r="A20" s="175"/>
      <c r="B20" s="175"/>
      <c r="C20" s="175"/>
      <c r="D20" s="175"/>
      <c r="E20" s="175"/>
      <c r="F20" s="175"/>
      <c r="G20" s="948"/>
      <c r="H20" s="948"/>
      <c r="I20" s="340" t="s">
        <v>604</v>
      </c>
      <c r="J20" s="503">
        <v>210318.5</v>
      </c>
      <c r="K20" s="503">
        <v>1541.6</v>
      </c>
      <c r="L20" s="503">
        <f t="shared" si="11"/>
        <v>211860.1</v>
      </c>
      <c r="M20" s="503">
        <v>17870.5</v>
      </c>
      <c r="N20" s="503">
        <f t="shared" si="12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3"/>
        <v>1220912.0999999999</v>
      </c>
      <c r="T20" s="503">
        <f t="shared" si="14"/>
        <v>1303411.4999999998</v>
      </c>
      <c r="U20" s="503">
        <v>510.6</v>
      </c>
      <c r="V20" s="503">
        <v>282021.69999999995</v>
      </c>
      <c r="W20" s="503">
        <f t="shared" si="15"/>
        <v>329027.59999999998</v>
      </c>
      <c r="X20" s="503">
        <f t="shared" si="16"/>
        <v>1415412.2999999998</v>
      </c>
      <c r="Y20" s="503">
        <v>1751526.5</v>
      </c>
      <c r="Z20" s="332" t="s">
        <v>604</v>
      </c>
      <c r="AA20" s="317">
        <v>0</v>
      </c>
      <c r="AB20" s="503">
        <v>25893.4</v>
      </c>
      <c r="AC20" s="503">
        <v>1055732.1000000001</v>
      </c>
      <c r="AD20" s="503">
        <f t="shared" si="17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8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9"/>
        <v>280001.5</v>
      </c>
      <c r="AM20" s="506">
        <f t="shared" si="20"/>
        <v>25555.9</v>
      </c>
      <c r="AN20" s="506">
        <f t="shared" si="20"/>
        <v>288445.39999999997</v>
      </c>
      <c r="AO20" s="506">
        <f t="shared" si="20"/>
        <v>1096632.8</v>
      </c>
      <c r="AP20" s="506">
        <f t="shared" si="20"/>
        <v>1385078.2</v>
      </c>
      <c r="AQ20" s="332" t="s">
        <v>604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21"/>
        <v>1314555.0900000001</v>
      </c>
      <c r="AY20" s="503">
        <f>0.04*AX20</f>
        <v>52582.203600000008</v>
      </c>
      <c r="AZ20" s="503">
        <f t="shared" si="22"/>
        <v>17064.797299999991</v>
      </c>
      <c r="BA20" s="316">
        <f>69651-3.9991</f>
        <v>69647.000899999999</v>
      </c>
      <c r="BB20" s="503">
        <v>3464093.4</v>
      </c>
      <c r="BC20" s="503">
        <f t="shared" si="23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4"/>
        <v>297671.2</v>
      </c>
      <c r="BI20" s="332" t="s">
        <v>604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305</v>
      </c>
      <c r="BP20" s="324">
        <v>3775</v>
      </c>
      <c r="BQ20" s="1252">
        <v>1483</v>
      </c>
      <c r="BR20" s="1252">
        <v>5279</v>
      </c>
      <c r="BS20" s="324">
        <v>65</v>
      </c>
      <c r="BT20" s="324">
        <v>10602</v>
      </c>
      <c r="BU20" s="323">
        <f t="shared" si="25"/>
        <v>106.26385125760463</v>
      </c>
      <c r="BV20" s="323">
        <f t="shared" ref="BV20:BV30" si="29">AV20/BT20</f>
        <v>122.94218920958311</v>
      </c>
      <c r="BW20" s="323">
        <f t="shared" ref="BW20:BW30" si="30">AP20/BT20</f>
        <v>130.64310507451424</v>
      </c>
      <c r="BX20" s="323">
        <f t="shared" si="26"/>
        <v>6.7143838507276188</v>
      </c>
      <c r="BY20" s="323">
        <v>4</v>
      </c>
      <c r="BZ20" s="323">
        <v>4.95</v>
      </c>
      <c r="CA20" s="323">
        <v>7.82</v>
      </c>
      <c r="CB20" s="323">
        <f t="shared" si="27"/>
        <v>2.87</v>
      </c>
      <c r="CC20" s="323">
        <v>9.3699999999999992</v>
      </c>
      <c r="CD20" s="323">
        <v>12.86</v>
      </c>
      <c r="CE20" s="323">
        <f t="shared" si="28"/>
        <v>3.49</v>
      </c>
      <c r="CF20" s="1046"/>
      <c r="CG20" s="1046"/>
      <c r="CH20" s="1046"/>
    </row>
    <row r="21" spans="1:86" s="177" customFormat="1" ht="11.45" customHeight="1">
      <c r="A21" s="175"/>
      <c r="B21" s="175"/>
      <c r="C21" s="175"/>
      <c r="D21" s="175"/>
      <c r="E21" s="175"/>
      <c r="F21" s="175"/>
      <c r="G21" s="948"/>
      <c r="H21" s="948"/>
      <c r="I21" s="152" t="s">
        <v>598</v>
      </c>
      <c r="J21" s="508">
        <v>204033.4</v>
      </c>
      <c r="K21" s="508">
        <v>1543</v>
      </c>
      <c r="L21" s="508">
        <f t="shared" si="11"/>
        <v>205576.4</v>
      </c>
      <c r="M21" s="508">
        <v>16378.4</v>
      </c>
      <c r="N21" s="508">
        <f t="shared" si="12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3"/>
        <v>1236447.5</v>
      </c>
      <c r="T21" s="508">
        <f t="shared" si="14"/>
        <v>1323031.7</v>
      </c>
      <c r="U21" s="508">
        <v>559</v>
      </c>
      <c r="V21" s="508">
        <v>280821.59999999998</v>
      </c>
      <c r="W21" s="508">
        <f t="shared" si="15"/>
        <v>325545</v>
      </c>
      <c r="X21" s="508">
        <f t="shared" si="16"/>
        <v>1426204.5</v>
      </c>
      <c r="Y21" s="508">
        <v>1766761.2</v>
      </c>
      <c r="Z21" s="175" t="s">
        <v>598</v>
      </c>
      <c r="AA21" s="252">
        <v>0</v>
      </c>
      <c r="AB21" s="508">
        <v>25962.5</v>
      </c>
      <c r="AC21" s="508">
        <v>1066636.1000000001</v>
      </c>
      <c r="AD21" s="508">
        <f t="shared" si="17"/>
        <v>1092598.6000000001</v>
      </c>
      <c r="AE21" s="252">
        <v>0</v>
      </c>
      <c r="AF21" s="508">
        <v>2027.5</v>
      </c>
      <c r="AG21" s="508">
        <v>21766.3</v>
      </c>
      <c r="AH21" s="508">
        <f t="shared" si="18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9"/>
        <v>287588.5</v>
      </c>
      <c r="AM21" s="521">
        <f t="shared" si="20"/>
        <v>25583.1</v>
      </c>
      <c r="AN21" s="521">
        <f t="shared" si="20"/>
        <v>295937.90000000002</v>
      </c>
      <c r="AO21" s="521">
        <f t="shared" si="20"/>
        <v>1108043.0000000002</v>
      </c>
      <c r="AP21" s="521">
        <f t="shared" si="20"/>
        <v>1403980.9000000001</v>
      </c>
      <c r="AQ21" s="175" t="s">
        <v>598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21"/>
        <v>1332282.76</v>
      </c>
      <c r="AY21" s="508">
        <f t="shared" ref="AY21:AY30" si="31">0.04*AX21</f>
        <v>53291.310400000002</v>
      </c>
      <c r="AZ21" s="508">
        <f t="shared" si="22"/>
        <v>21391.737599999993</v>
      </c>
      <c r="BA21" s="251">
        <f>74686.2-3.152</f>
        <v>74683.047999999995</v>
      </c>
      <c r="BB21" s="508">
        <v>3520630.9</v>
      </c>
      <c r="BC21" s="508">
        <f t="shared" si="23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4"/>
        <v>302678.7</v>
      </c>
      <c r="BI21" s="175" t="s">
        <v>598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305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5"/>
        <v>106.11679751534571</v>
      </c>
      <c r="BV21" s="281">
        <f t="shared" si="29"/>
        <v>124.73389836900159</v>
      </c>
      <c r="BW21" s="281">
        <f t="shared" si="30"/>
        <v>132.36361836523051</v>
      </c>
      <c r="BX21" s="281">
        <f t="shared" si="26"/>
        <v>6.8826785598509064</v>
      </c>
      <c r="BY21" s="281">
        <v>4</v>
      </c>
      <c r="BZ21" s="281">
        <v>4.79</v>
      </c>
      <c r="CA21" s="281">
        <v>7.79</v>
      </c>
      <c r="CB21" s="281">
        <f t="shared" si="27"/>
        <v>3</v>
      </c>
      <c r="CC21" s="281">
        <v>9.2200000000000006</v>
      </c>
      <c r="CD21" s="281">
        <v>12.62</v>
      </c>
      <c r="CE21" s="281">
        <f t="shared" si="28"/>
        <v>3.3999999999999986</v>
      </c>
    </row>
    <row r="22" spans="1:86" s="177" customFormat="1" ht="11.45" customHeight="1">
      <c r="A22" s="175"/>
      <c r="B22" s="175"/>
      <c r="C22" s="175"/>
      <c r="D22" s="175"/>
      <c r="E22" s="175"/>
      <c r="F22" s="175"/>
      <c r="G22" s="948"/>
      <c r="H22" s="948"/>
      <c r="I22" s="340" t="s">
        <v>605</v>
      </c>
      <c r="J22" s="503">
        <v>202262.3</v>
      </c>
      <c r="K22" s="503">
        <v>1544.6</v>
      </c>
      <c r="L22" s="503">
        <f t="shared" si="11"/>
        <v>203806.9</v>
      </c>
      <c r="M22" s="503">
        <v>15750.7</v>
      </c>
      <c r="N22" s="503">
        <f t="shared" si="12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3"/>
        <v>1251120.1000000001</v>
      </c>
      <c r="T22" s="503">
        <f t="shared" si="14"/>
        <v>1339380.4000000001</v>
      </c>
      <c r="U22" s="503">
        <v>551.70000000000005</v>
      </c>
      <c r="V22" s="503">
        <v>289171.7</v>
      </c>
      <c r="W22" s="503">
        <f t="shared" si="15"/>
        <v>322634.2</v>
      </c>
      <c r="X22" s="503">
        <f t="shared" si="16"/>
        <v>1439728</v>
      </c>
      <c r="Y22" s="503">
        <v>1784098.5</v>
      </c>
      <c r="Z22" s="332" t="s">
        <v>605</v>
      </c>
      <c r="AA22" s="317">
        <v>0</v>
      </c>
      <c r="AB22" s="503">
        <v>26049.9</v>
      </c>
      <c r="AC22" s="503">
        <v>1068268.2</v>
      </c>
      <c r="AD22" s="503">
        <f t="shared" si="17"/>
        <v>1094318.0999999999</v>
      </c>
      <c r="AE22" s="317">
        <v>0</v>
      </c>
      <c r="AF22" s="503">
        <v>1995.8</v>
      </c>
      <c r="AG22" s="503">
        <v>21072.7</v>
      </c>
      <c r="AH22" s="503">
        <f t="shared" si="18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9"/>
        <v>290823.7</v>
      </c>
      <c r="AM22" s="506">
        <f t="shared" si="20"/>
        <v>25949</v>
      </c>
      <c r="AN22" s="506">
        <f t="shared" si="20"/>
        <v>298973</v>
      </c>
      <c r="AO22" s="506">
        <f t="shared" si="20"/>
        <v>1109237.2999999998</v>
      </c>
      <c r="AP22" s="506">
        <f t="shared" si="20"/>
        <v>1408210.2999999998</v>
      </c>
      <c r="AQ22" s="332" t="s">
        <v>605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21"/>
        <v>1350651.3399999999</v>
      </c>
      <c r="AY22" s="503">
        <f t="shared" si="31"/>
        <v>54026.053599999992</v>
      </c>
      <c r="AZ22" s="503">
        <f t="shared" si="22"/>
        <v>30785.00710000001</v>
      </c>
      <c r="BA22" s="316">
        <f>84813.1-2.0393</f>
        <v>84811.060700000002</v>
      </c>
      <c r="BB22" s="503">
        <v>3589034.8</v>
      </c>
      <c r="BC22" s="503">
        <f t="shared" si="23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4"/>
        <v>306313.89999999997</v>
      </c>
      <c r="BI22" s="332" t="s">
        <v>605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305</v>
      </c>
      <c r="BP22" s="324">
        <v>3776</v>
      </c>
      <c r="BQ22" s="1252">
        <v>1483</v>
      </c>
      <c r="BR22" s="1252">
        <v>5295</v>
      </c>
      <c r="BS22" s="324">
        <v>67</v>
      </c>
      <c r="BT22" s="324">
        <v>10621</v>
      </c>
      <c r="BU22" s="323">
        <f t="shared" si="25"/>
        <v>105.13738635266978</v>
      </c>
      <c r="BV22" s="323">
        <f t="shared" si="29"/>
        <v>126.10866585067319</v>
      </c>
      <c r="BW22" s="323">
        <f t="shared" si="30"/>
        <v>132.5873552396196</v>
      </c>
      <c r="BX22" s="323">
        <f t="shared" si="26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7"/>
        <v>2.9399999999999995</v>
      </c>
      <c r="CC22" s="323">
        <v>9.1199999999999992</v>
      </c>
      <c r="CD22" s="323">
        <v>12.37</v>
      </c>
      <c r="CE22" s="323">
        <f t="shared" si="28"/>
        <v>3.25</v>
      </c>
    </row>
    <row r="23" spans="1:86" s="177" customFormat="1" ht="11.45" customHeight="1">
      <c r="A23" s="175"/>
      <c r="B23" s="175"/>
      <c r="C23" s="175"/>
      <c r="D23" s="175"/>
      <c r="E23" s="175"/>
      <c r="F23" s="175"/>
      <c r="G23" s="948"/>
      <c r="H23" s="948"/>
      <c r="I23" s="152" t="s">
        <v>606</v>
      </c>
      <c r="J23" s="508">
        <v>200463.5</v>
      </c>
      <c r="K23" s="508">
        <v>1544.5</v>
      </c>
      <c r="L23" s="508">
        <f t="shared" si="11"/>
        <v>202008</v>
      </c>
      <c r="M23" s="508">
        <v>16571.099999999999</v>
      </c>
      <c r="N23" s="508">
        <f t="shared" si="12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3"/>
        <v>1268001.5</v>
      </c>
      <c r="T23" s="508">
        <f t="shared" si="14"/>
        <v>1357279.8</v>
      </c>
      <c r="U23" s="508">
        <v>521.70000000000005</v>
      </c>
      <c r="V23" s="508">
        <v>297095.60000000003</v>
      </c>
      <c r="W23" s="508">
        <f t="shared" si="15"/>
        <v>326077.60000000003</v>
      </c>
      <c r="X23" s="508">
        <f t="shared" si="16"/>
        <v>1453960.1</v>
      </c>
      <c r="Y23" s="508">
        <v>1800909.9000000001</v>
      </c>
      <c r="Z23" s="175" t="s">
        <v>606</v>
      </c>
      <c r="AA23" s="252">
        <v>0</v>
      </c>
      <c r="AB23" s="508">
        <v>26584.9</v>
      </c>
      <c r="AC23" s="508">
        <v>1074998.1000000001</v>
      </c>
      <c r="AD23" s="508">
        <f t="shared" si="17"/>
        <v>1101583</v>
      </c>
      <c r="AE23" s="252">
        <v>0</v>
      </c>
      <c r="AF23" s="508">
        <v>1978.4</v>
      </c>
      <c r="AG23" s="508">
        <v>20826.7</v>
      </c>
      <c r="AH23" s="508">
        <f t="shared" si="18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9"/>
        <v>294598.5</v>
      </c>
      <c r="AM23" s="521">
        <f t="shared" si="20"/>
        <v>26148.400000000001</v>
      </c>
      <c r="AN23" s="521">
        <f t="shared" si="20"/>
        <v>303132</v>
      </c>
      <c r="AO23" s="521">
        <f t="shared" si="20"/>
        <v>1115854.6000000001</v>
      </c>
      <c r="AP23" s="521">
        <f t="shared" si="20"/>
        <v>1418986.6</v>
      </c>
      <c r="AQ23" s="175" t="s">
        <v>606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21"/>
        <v>1366855.7000000002</v>
      </c>
      <c r="AY23" s="508">
        <f t="shared" si="31"/>
        <v>54674.22800000001</v>
      </c>
      <c r="AZ23" s="508">
        <f t="shared" si="22"/>
        <v>39888.425999999985</v>
      </c>
      <c r="BA23" s="251">
        <f>94565.9-3.246</f>
        <v>94562.653999999995</v>
      </c>
      <c r="BB23" s="508">
        <v>3658686.4</v>
      </c>
      <c r="BC23" s="508">
        <f t="shared" si="23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4"/>
        <v>308538.89999999997</v>
      </c>
      <c r="BI23" s="175" t="s">
        <v>606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305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5"/>
        <v>104.54483299044661</v>
      </c>
      <c r="BV23" s="281">
        <f t="shared" si="29"/>
        <v>127.70978547233723</v>
      </c>
      <c r="BW23" s="281">
        <f t="shared" si="30"/>
        <v>133.51398193451263</v>
      </c>
      <c r="BX23" s="281">
        <f t="shared" si="26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7"/>
        <v>2.9800000000000004</v>
      </c>
      <c r="CC23" s="281">
        <v>8.91</v>
      </c>
      <c r="CD23" s="281">
        <v>12.26</v>
      </c>
      <c r="CE23" s="281">
        <f t="shared" si="28"/>
        <v>3.3499999999999996</v>
      </c>
    </row>
    <row r="24" spans="1:86" s="177" customFormat="1" ht="11.45" customHeight="1">
      <c r="A24" s="175"/>
      <c r="B24" s="175"/>
      <c r="C24" s="175"/>
      <c r="D24" s="175"/>
      <c r="E24" s="175"/>
      <c r="F24" s="175"/>
      <c r="G24" s="948"/>
      <c r="H24" s="948"/>
      <c r="I24" s="639" t="s">
        <v>599</v>
      </c>
      <c r="J24" s="503">
        <v>201526</v>
      </c>
      <c r="K24" s="503">
        <v>1544.1</v>
      </c>
      <c r="L24" s="503">
        <f t="shared" si="11"/>
        <v>203070.1</v>
      </c>
      <c r="M24" s="503">
        <v>15607.2</v>
      </c>
      <c r="N24" s="503">
        <f t="shared" si="12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3"/>
        <v>1290472.3999999999</v>
      </c>
      <c r="T24" s="503">
        <f t="shared" si="14"/>
        <v>1382617.4</v>
      </c>
      <c r="U24" s="503">
        <v>749.2</v>
      </c>
      <c r="V24" s="503">
        <v>304054.3</v>
      </c>
      <c r="W24" s="503">
        <f t="shared" si="15"/>
        <v>336384.3</v>
      </c>
      <c r="X24" s="503">
        <f t="shared" si="16"/>
        <v>1478684.5</v>
      </c>
      <c r="Y24" s="503">
        <v>1829393.9999999998</v>
      </c>
      <c r="Z24" s="332" t="s">
        <v>599</v>
      </c>
      <c r="AA24" s="317">
        <v>0</v>
      </c>
      <c r="AB24" s="503">
        <v>27168.799999999999</v>
      </c>
      <c r="AC24" s="503">
        <v>1095674.5</v>
      </c>
      <c r="AD24" s="503">
        <f t="shared" si="17"/>
        <v>1122843.3</v>
      </c>
      <c r="AE24" s="317">
        <v>0</v>
      </c>
      <c r="AF24" s="503">
        <v>1871.5</v>
      </c>
      <c r="AG24" s="503">
        <v>20192.5</v>
      </c>
      <c r="AH24" s="503">
        <f t="shared" si="18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9"/>
        <v>303633.40000000002</v>
      </c>
      <c r="AM24" s="506">
        <f t="shared" si="20"/>
        <v>28568.400000000001</v>
      </c>
      <c r="AN24" s="506">
        <f t="shared" si="20"/>
        <v>312566.8</v>
      </c>
      <c r="AO24" s="506">
        <f t="shared" si="20"/>
        <v>1135973.8999999999</v>
      </c>
      <c r="AP24" s="506">
        <f t="shared" si="20"/>
        <v>1448540.7000000002</v>
      </c>
      <c r="AQ24" s="332" t="s">
        <v>599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21"/>
        <v>1392204.4400000002</v>
      </c>
      <c r="AY24" s="503">
        <f t="shared" si="31"/>
        <v>55688.17760000001</v>
      </c>
      <c r="AZ24" s="503">
        <f t="shared" si="22"/>
        <v>44542.929699999993</v>
      </c>
      <c r="BA24" s="316">
        <f>100235-3.8927</f>
        <v>100231.1073</v>
      </c>
      <c r="BB24" s="503">
        <v>3494909</v>
      </c>
      <c r="BC24" s="503">
        <f t="shared" si="23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4"/>
        <v>315565.19999999995</v>
      </c>
      <c r="BI24" s="332" t="s">
        <v>599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305</v>
      </c>
      <c r="BP24" s="324">
        <v>3798</v>
      </c>
      <c r="BQ24" s="1252">
        <v>1492</v>
      </c>
      <c r="BR24" s="1252">
        <v>5395</v>
      </c>
      <c r="BS24" s="324">
        <v>67</v>
      </c>
      <c r="BT24" s="324">
        <v>10752</v>
      </c>
      <c r="BU24" s="323">
        <f t="shared" si="25"/>
        <v>104.76658739731771</v>
      </c>
      <c r="BV24" s="323">
        <f t="shared" si="29"/>
        <v>128.59339099702382</v>
      </c>
      <c r="BW24" s="323">
        <f t="shared" si="30"/>
        <v>134.72290736607144</v>
      </c>
      <c r="BX24" s="323">
        <f t="shared" si="26"/>
        <v>8.3780760497118205</v>
      </c>
      <c r="BY24" s="323">
        <v>4</v>
      </c>
      <c r="BZ24" s="323">
        <v>4.54</v>
      </c>
      <c r="CA24" s="323">
        <v>7.61</v>
      </c>
      <c r="CB24" s="323">
        <f t="shared" si="27"/>
        <v>3.0700000000000003</v>
      </c>
      <c r="CC24" s="323">
        <v>8.69</v>
      </c>
      <c r="CD24" s="323">
        <v>12.04</v>
      </c>
      <c r="CE24" s="323">
        <f t="shared" si="28"/>
        <v>3.3499999999999996</v>
      </c>
    </row>
    <row r="25" spans="1:86" s="177" customFormat="1" ht="11.45" customHeight="1">
      <c r="A25" s="175"/>
      <c r="B25" s="175"/>
      <c r="C25" s="175"/>
      <c r="D25" s="175"/>
      <c r="E25" s="175"/>
      <c r="F25" s="175"/>
      <c r="G25" s="948"/>
      <c r="H25" s="948"/>
      <c r="I25" s="263" t="s">
        <v>607</v>
      </c>
      <c r="J25" s="508">
        <v>201812.7</v>
      </c>
      <c r="K25" s="508">
        <v>1546.5</v>
      </c>
      <c r="L25" s="508">
        <f t="shared" si="11"/>
        <v>203359.2</v>
      </c>
      <c r="M25" s="508">
        <v>17617.3</v>
      </c>
      <c r="N25" s="508">
        <f t="shared" si="12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3"/>
        <v>1286201.2000000002</v>
      </c>
      <c r="T25" s="508">
        <f t="shared" si="14"/>
        <v>1378734.8000000003</v>
      </c>
      <c r="U25" s="508">
        <v>527.79999999999995</v>
      </c>
      <c r="V25" s="508">
        <v>301225.2</v>
      </c>
      <c r="W25" s="508">
        <f t="shared" si="15"/>
        <v>328345.8</v>
      </c>
      <c r="X25" s="508">
        <f t="shared" si="16"/>
        <v>1472470.9000000001</v>
      </c>
      <c r="Y25" s="508">
        <v>1827481.8000000003</v>
      </c>
      <c r="Z25" s="175" t="s">
        <v>607</v>
      </c>
      <c r="AA25" s="252">
        <v>0</v>
      </c>
      <c r="AB25" s="508">
        <v>27189.5</v>
      </c>
      <c r="AC25" s="508">
        <v>1093932.8999999999</v>
      </c>
      <c r="AD25" s="508">
        <f t="shared" si="17"/>
        <v>1121122.3999999999</v>
      </c>
      <c r="AE25" s="252">
        <v>0</v>
      </c>
      <c r="AF25" s="508">
        <v>1819</v>
      </c>
      <c r="AG25" s="508">
        <v>20363.2</v>
      </c>
      <c r="AH25" s="508">
        <f t="shared" si="18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9"/>
        <v>304914.89999999997</v>
      </c>
      <c r="AM25" s="521">
        <f t="shared" si="20"/>
        <v>28560.1</v>
      </c>
      <c r="AN25" s="521">
        <f t="shared" si="20"/>
        <v>313559.3</v>
      </c>
      <c r="AO25" s="521">
        <f t="shared" si="20"/>
        <v>1134660.2</v>
      </c>
      <c r="AP25" s="521">
        <f t="shared" si="20"/>
        <v>1448219.4999999998</v>
      </c>
      <c r="AQ25" s="175" t="s">
        <v>607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21"/>
        <v>1388831.54</v>
      </c>
      <c r="AY25" s="508">
        <f t="shared" si="31"/>
        <v>55553.261600000005</v>
      </c>
      <c r="AZ25" s="508">
        <f t="shared" si="22"/>
        <v>41783.235299999993</v>
      </c>
      <c r="BA25" s="251">
        <f>97338.2-1.7031</f>
        <v>97336.496899999998</v>
      </c>
      <c r="BB25" s="508">
        <v>3537403.7</v>
      </c>
      <c r="BC25" s="508">
        <f t="shared" si="23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4"/>
        <v>322156.2</v>
      </c>
      <c r="BI25" s="175" t="s">
        <v>607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305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5"/>
        <v>105.03820170985556</v>
      </c>
      <c r="BV25" s="281">
        <f t="shared" si="29"/>
        <v>128.23242559523811</v>
      </c>
      <c r="BW25" s="281">
        <f t="shared" si="30"/>
        <v>134.69303385416666</v>
      </c>
      <c r="BX25" s="281">
        <f t="shared" si="26"/>
        <v>8.3375069221868454</v>
      </c>
      <c r="BY25" s="281">
        <v>4</v>
      </c>
      <c r="BZ25" s="281">
        <v>4.51</v>
      </c>
      <c r="CA25" s="281">
        <v>7.56</v>
      </c>
      <c r="CB25" s="281">
        <f t="shared" si="27"/>
        <v>3.05</v>
      </c>
      <c r="CC25" s="281">
        <v>8.48</v>
      </c>
      <c r="CD25" s="281">
        <v>11.86</v>
      </c>
      <c r="CE25" s="281">
        <f t="shared" si="28"/>
        <v>3.379999999999999</v>
      </c>
    </row>
    <row r="26" spans="1:86" s="177" customFormat="1" ht="11.45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608</v>
      </c>
      <c r="J26" s="503">
        <v>201832.9</v>
      </c>
      <c r="K26" s="503">
        <v>1548.9</v>
      </c>
      <c r="L26" s="503">
        <f t="shared" si="11"/>
        <v>203381.8</v>
      </c>
      <c r="M26" s="503">
        <v>18049</v>
      </c>
      <c r="N26" s="503">
        <f t="shared" si="12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3"/>
        <v>1295041.5999999999</v>
      </c>
      <c r="T26" s="503">
        <f t="shared" si="14"/>
        <v>1386813.7</v>
      </c>
      <c r="U26" s="503">
        <v>558.70000000000005</v>
      </c>
      <c r="V26" s="503">
        <v>300493.39999999997</v>
      </c>
      <c r="W26" s="503">
        <f t="shared" si="15"/>
        <v>330549.89999999997</v>
      </c>
      <c r="X26" s="503">
        <f t="shared" si="16"/>
        <v>1480933.0999999999</v>
      </c>
      <c r="Y26" s="503">
        <v>1839453.9</v>
      </c>
      <c r="Z26" s="332" t="s">
        <v>608</v>
      </c>
      <c r="AA26" s="317">
        <v>0</v>
      </c>
      <c r="AB26" s="503">
        <v>27781.8</v>
      </c>
      <c r="AC26" s="503">
        <v>1105631.6000000001</v>
      </c>
      <c r="AD26" s="503">
        <f t="shared" si="17"/>
        <v>1133413.4000000001</v>
      </c>
      <c r="AE26" s="317">
        <v>0</v>
      </c>
      <c r="AF26" s="503">
        <v>1839.7</v>
      </c>
      <c r="AG26" s="503">
        <v>21669.9</v>
      </c>
      <c r="AH26" s="503">
        <f t="shared" si="18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9"/>
        <v>303427.7</v>
      </c>
      <c r="AM26" s="506">
        <f t="shared" si="20"/>
        <v>28327.5</v>
      </c>
      <c r="AN26" s="506">
        <f t="shared" si="20"/>
        <v>312215.40000000002</v>
      </c>
      <c r="AO26" s="506">
        <f t="shared" si="20"/>
        <v>1148135.3</v>
      </c>
      <c r="AP26" s="506">
        <f t="shared" si="20"/>
        <v>1460350.7000000002</v>
      </c>
      <c r="AQ26" s="332" t="s">
        <v>608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21"/>
        <v>1396515.85</v>
      </c>
      <c r="AY26" s="503">
        <f t="shared" si="31"/>
        <v>55860.634000000005</v>
      </c>
      <c r="AZ26" s="503">
        <f t="shared" si="22"/>
        <v>40688.899099999995</v>
      </c>
      <c r="BA26" s="506">
        <f>96552.9-3.3669</f>
        <v>96549.533100000001</v>
      </c>
      <c r="BB26" s="503">
        <v>3567488.5</v>
      </c>
      <c r="BC26" s="503">
        <f t="shared" si="23"/>
        <v>299931.33309999999</v>
      </c>
      <c r="BD26" s="945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4"/>
        <v>314614.8</v>
      </c>
      <c r="BI26" s="332" t="s">
        <v>608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305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9"/>
        <v>128.8639518676826</v>
      </c>
      <c r="BW26" s="323">
        <f t="shared" si="30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7"/>
        <v>3.04</v>
      </c>
      <c r="CC26" s="323">
        <v>8.2899999999999991</v>
      </c>
      <c r="CD26" s="323">
        <v>11.72</v>
      </c>
      <c r="CE26" s="323">
        <f t="shared" si="28"/>
        <v>3.4300000000000015</v>
      </c>
    </row>
    <row r="27" spans="1:86" s="177" customFormat="1" ht="11.45" customHeight="1">
      <c r="A27" s="175"/>
      <c r="B27" s="175"/>
      <c r="C27" s="175"/>
      <c r="D27" s="175"/>
      <c r="E27" s="175"/>
      <c r="F27" s="175"/>
      <c r="G27" s="175"/>
      <c r="H27" s="175"/>
      <c r="I27" s="175" t="s">
        <v>600</v>
      </c>
      <c r="J27" s="508">
        <v>200324.2</v>
      </c>
      <c r="K27" s="508">
        <v>1555.6</v>
      </c>
      <c r="L27" s="508">
        <f t="shared" si="11"/>
        <v>201879.80000000002</v>
      </c>
      <c r="M27" s="508">
        <v>17663.5</v>
      </c>
      <c r="N27" s="508">
        <f t="shared" si="12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3"/>
        <v>1298971.9000000001</v>
      </c>
      <c r="T27" s="508">
        <f t="shared" si="14"/>
        <v>1390498.5000000002</v>
      </c>
      <c r="U27" s="508">
        <v>605.6</v>
      </c>
      <c r="V27" s="508">
        <v>303661.19999999995</v>
      </c>
      <c r="W27" s="508">
        <f t="shared" si="15"/>
        <v>329778.19999999995</v>
      </c>
      <c r="X27" s="508">
        <f t="shared" si="16"/>
        <v>1483793.8</v>
      </c>
      <c r="Y27" s="508">
        <v>1846365.5</v>
      </c>
      <c r="Z27" s="175" t="s">
        <v>600</v>
      </c>
      <c r="AA27" s="252">
        <v>0</v>
      </c>
      <c r="AB27" s="508">
        <v>27305.4</v>
      </c>
      <c r="AC27" s="508">
        <v>1111969.8</v>
      </c>
      <c r="AD27" s="508">
        <f t="shared" si="17"/>
        <v>1139275.2</v>
      </c>
      <c r="AE27" s="252">
        <v>0</v>
      </c>
      <c r="AF27" s="508">
        <v>1863.6</v>
      </c>
      <c r="AG27" s="508">
        <v>21887.3</v>
      </c>
      <c r="AH27" s="508">
        <f t="shared" si="18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9"/>
        <v>301576.5</v>
      </c>
      <c r="AM27" s="521">
        <f t="shared" si="20"/>
        <v>28464</v>
      </c>
      <c r="AN27" s="521">
        <f t="shared" si="20"/>
        <v>309678.3</v>
      </c>
      <c r="AO27" s="521">
        <f t="shared" si="20"/>
        <v>1154924.3</v>
      </c>
      <c r="AP27" s="521">
        <f t="shared" si="20"/>
        <v>1464602.5999999999</v>
      </c>
      <c r="AQ27" s="175" t="s">
        <v>600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21"/>
        <v>1400234.47</v>
      </c>
      <c r="AY27" s="508">
        <f t="shared" si="31"/>
        <v>56009.378799999999</v>
      </c>
      <c r="AZ27" s="508">
        <f t="shared" si="22"/>
        <v>45164.440200000005</v>
      </c>
      <c r="BA27" s="521">
        <f>101175.8-1.981</f>
        <v>101173.819</v>
      </c>
      <c r="BB27" s="508">
        <v>3617124.8</v>
      </c>
      <c r="BC27" s="508">
        <f t="shared" si="23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4"/>
        <v>310571.09999999998</v>
      </c>
      <c r="BI27" s="175" t="s">
        <v>600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305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9"/>
        <v>129.17046632605667</v>
      </c>
      <c r="BW27" s="281">
        <f t="shared" si="30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7"/>
        <v>3.05</v>
      </c>
      <c r="CC27" s="281">
        <v>8.16</v>
      </c>
      <c r="CD27" s="281">
        <v>11.54</v>
      </c>
      <c r="CE27" s="281">
        <f t="shared" si="28"/>
        <v>3.379999999999999</v>
      </c>
    </row>
    <row r="28" spans="1:86" s="177" customFormat="1" ht="11.45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609</v>
      </c>
      <c r="J28" s="503">
        <v>208632.6</v>
      </c>
      <c r="K28" s="503">
        <v>1558.5</v>
      </c>
      <c r="L28" s="503">
        <f t="shared" si="11"/>
        <v>210191.1</v>
      </c>
      <c r="M28" s="503">
        <v>17780.2</v>
      </c>
      <c r="N28" s="503">
        <f t="shared" si="12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3"/>
        <v>1307462.7</v>
      </c>
      <c r="T28" s="503">
        <f t="shared" si="14"/>
        <v>1400515.9</v>
      </c>
      <c r="U28" s="503">
        <v>567.9</v>
      </c>
      <c r="V28" s="503">
        <v>316061.40000000002</v>
      </c>
      <c r="W28" s="503">
        <f t="shared" si="15"/>
        <v>339834.7</v>
      </c>
      <c r="X28" s="503">
        <f t="shared" si="16"/>
        <v>1500441.5</v>
      </c>
      <c r="Y28" s="503">
        <v>1862739</v>
      </c>
      <c r="Z28" s="332" t="s">
        <v>609</v>
      </c>
      <c r="AA28" s="317">
        <v>0</v>
      </c>
      <c r="AB28" s="503">
        <v>26926.5</v>
      </c>
      <c r="AC28" s="503">
        <v>1116405.6000000001</v>
      </c>
      <c r="AD28" s="503">
        <f t="shared" si="17"/>
        <v>1143332.1000000001</v>
      </c>
      <c r="AE28" s="317">
        <v>0</v>
      </c>
      <c r="AF28" s="503">
        <v>1841.7</v>
      </c>
      <c r="AG28" s="503">
        <v>21533.9</v>
      </c>
      <c r="AH28" s="503">
        <f t="shared" si="18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9"/>
        <v>303088.10000000003</v>
      </c>
      <c r="AM28" s="506">
        <f t="shared" si="20"/>
        <v>28761.599999999999</v>
      </c>
      <c r="AN28" s="506">
        <f t="shared" si="20"/>
        <v>310982.40000000002</v>
      </c>
      <c r="AO28" s="506">
        <f t="shared" si="20"/>
        <v>1158813.3999999999</v>
      </c>
      <c r="AP28" s="506">
        <f t="shared" si="20"/>
        <v>1469795.8000000003</v>
      </c>
      <c r="AQ28" s="332" t="s">
        <v>609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21"/>
        <v>1411207.56</v>
      </c>
      <c r="AY28" s="503">
        <f t="shared" si="31"/>
        <v>56448.3024</v>
      </c>
      <c r="AZ28" s="503">
        <f t="shared" si="22"/>
        <v>48851.455799999996</v>
      </c>
      <c r="BA28" s="506">
        <f>105302.4-2.6418</f>
        <v>105299.7582</v>
      </c>
      <c r="BB28" s="503">
        <v>3681406.4</v>
      </c>
      <c r="BC28" s="503">
        <f t="shared" si="23"/>
        <v>315490.85820000002</v>
      </c>
      <c r="BD28" s="945">
        <v>4126.8</v>
      </c>
      <c r="BE28" s="503">
        <v>25045.9</v>
      </c>
      <c r="BF28" s="503">
        <v>5093.7</v>
      </c>
      <c r="BG28" s="503">
        <v>278346.2</v>
      </c>
      <c r="BH28" s="503">
        <f t="shared" si="24"/>
        <v>312612.60000000003</v>
      </c>
      <c r="BI28" s="332" t="s">
        <v>609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305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9"/>
        <v>130.07683291538962</v>
      </c>
      <c r="BW28" s="323">
        <f t="shared" si="30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7"/>
        <v>3.04</v>
      </c>
      <c r="CC28" s="323">
        <v>8.06</v>
      </c>
      <c r="CD28" s="323">
        <v>11.48</v>
      </c>
      <c r="CE28" s="323">
        <f t="shared" si="28"/>
        <v>3.42</v>
      </c>
    </row>
    <row r="29" spans="1:86" s="177" customFormat="1" ht="11.45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610</v>
      </c>
      <c r="J29" s="508">
        <v>219292.79999999999</v>
      </c>
      <c r="K29" s="508">
        <v>1562</v>
      </c>
      <c r="L29" s="508">
        <f t="shared" si="11"/>
        <v>220854.8</v>
      </c>
      <c r="M29" s="508">
        <v>19647.099999999999</v>
      </c>
      <c r="N29" s="508">
        <f t="shared" si="12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3"/>
        <v>1324561.2</v>
      </c>
      <c r="T29" s="508">
        <f t="shared" si="14"/>
        <v>1419873.9</v>
      </c>
      <c r="U29" s="508">
        <v>506.5</v>
      </c>
      <c r="V29" s="508">
        <v>327852.5</v>
      </c>
      <c r="W29" s="508">
        <f t="shared" si="15"/>
        <v>353509.19999999995</v>
      </c>
      <c r="X29" s="508">
        <f t="shared" si="16"/>
        <v>1526275.4</v>
      </c>
      <c r="Y29" s="508">
        <v>1891599.0499999998</v>
      </c>
      <c r="Z29" s="175" t="s">
        <v>610</v>
      </c>
      <c r="AA29" s="252">
        <v>0</v>
      </c>
      <c r="AB29" s="508">
        <v>28597</v>
      </c>
      <c r="AC29" s="508">
        <v>1122874</v>
      </c>
      <c r="AD29" s="508">
        <f t="shared" si="17"/>
        <v>1151471</v>
      </c>
      <c r="AE29" s="252">
        <v>0</v>
      </c>
      <c r="AF29" s="508">
        <v>1799.4</v>
      </c>
      <c r="AG29" s="508">
        <v>22418.799999999999</v>
      </c>
      <c r="AH29" s="508">
        <f t="shared" si="18"/>
        <v>24218.2</v>
      </c>
      <c r="AI29" s="521">
        <v>28561.1</v>
      </c>
      <c r="AJ29" s="521">
        <v>291711</v>
      </c>
      <c r="AK29" s="521">
        <v>20999.8</v>
      </c>
      <c r="AL29" s="521">
        <f t="shared" si="19"/>
        <v>312710.8</v>
      </c>
      <c r="AM29" s="521">
        <f t="shared" si="20"/>
        <v>28561.1</v>
      </c>
      <c r="AN29" s="521">
        <f t="shared" si="20"/>
        <v>322107.40000000002</v>
      </c>
      <c r="AO29" s="521">
        <f t="shared" si="20"/>
        <v>1166292.6000000001</v>
      </c>
      <c r="AP29" s="521">
        <f t="shared" si="20"/>
        <v>1488400</v>
      </c>
      <c r="AQ29" s="175" t="s">
        <v>610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21"/>
        <v>1430070.3499999999</v>
      </c>
      <c r="AY29" s="508">
        <f t="shared" si="31"/>
        <v>57202.813999999998</v>
      </c>
      <c r="AZ29" s="508">
        <f t="shared" si="22"/>
        <v>49284.827399999995</v>
      </c>
      <c r="BA29" s="521">
        <f>106491.2-3.5586</f>
        <v>106487.64139999999</v>
      </c>
      <c r="BB29" s="508">
        <v>3752633.9</v>
      </c>
      <c r="BC29" s="508">
        <f t="shared" si="23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4"/>
        <v>323783.60000000003</v>
      </c>
      <c r="BI29" s="175" t="s">
        <v>610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305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9"/>
        <v>131.86244892273402</v>
      </c>
      <c r="BW29" s="281">
        <f t="shared" si="30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7"/>
        <v>3.2600000000000007</v>
      </c>
      <c r="CC29" s="281">
        <v>7.93</v>
      </c>
      <c r="CD29" s="281">
        <v>11.28</v>
      </c>
      <c r="CE29" s="281">
        <f t="shared" si="28"/>
        <v>3.3499999999999996</v>
      </c>
    </row>
    <row r="30" spans="1:86" s="177" customFormat="1" ht="11.45" customHeight="1">
      <c r="A30" s="175"/>
      <c r="B30" s="175"/>
      <c r="C30" s="175"/>
      <c r="D30" s="175"/>
      <c r="E30" s="175"/>
      <c r="F30" s="175"/>
      <c r="G30" s="175"/>
      <c r="H30" s="175"/>
      <c r="I30" s="332" t="s">
        <v>601</v>
      </c>
      <c r="J30" s="503">
        <v>225322.2</v>
      </c>
      <c r="K30" s="503">
        <v>1566.1</v>
      </c>
      <c r="L30" s="503">
        <f t="shared" si="11"/>
        <v>226888.30000000002</v>
      </c>
      <c r="M30" s="503">
        <v>17370.599999999999</v>
      </c>
      <c r="N30" s="503">
        <f t="shared" si="12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3"/>
        <v>1350791.1</v>
      </c>
      <c r="T30" s="503">
        <f t="shared" si="14"/>
        <v>1446967.6</v>
      </c>
      <c r="U30" s="503">
        <v>586.5</v>
      </c>
      <c r="V30" s="503">
        <v>348071.80000000005</v>
      </c>
      <c r="W30" s="503">
        <f t="shared" si="15"/>
        <v>375828.7</v>
      </c>
      <c r="X30" s="503">
        <f t="shared" si="16"/>
        <v>1560895.3</v>
      </c>
      <c r="Y30" s="503">
        <v>1929045.3</v>
      </c>
      <c r="Z30" s="332" t="s">
        <v>601</v>
      </c>
      <c r="AA30" s="317">
        <v>0</v>
      </c>
      <c r="AB30" s="503">
        <v>26917.4</v>
      </c>
      <c r="AC30" s="503">
        <v>1139574.1000000001</v>
      </c>
      <c r="AD30" s="503">
        <f t="shared" si="17"/>
        <v>1166491.5</v>
      </c>
      <c r="AE30" s="317">
        <v>0</v>
      </c>
      <c r="AF30" s="503">
        <v>1788.7</v>
      </c>
      <c r="AG30" s="503">
        <v>22235.9</v>
      </c>
      <c r="AH30" s="503">
        <f t="shared" si="18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9"/>
        <v>320483.20000000001</v>
      </c>
      <c r="AM30" s="506">
        <f t="shared" si="20"/>
        <v>29531.4</v>
      </c>
      <c r="AN30" s="506">
        <f t="shared" si="20"/>
        <v>327982.39999999997</v>
      </c>
      <c r="AO30" s="506">
        <f t="shared" si="20"/>
        <v>1183016.8999999999</v>
      </c>
      <c r="AP30" s="506">
        <f t="shared" si="20"/>
        <v>1510999.3</v>
      </c>
      <c r="AQ30" s="332" t="s">
        <v>601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21"/>
        <v>1456951.2100000002</v>
      </c>
      <c r="AY30" s="503">
        <f t="shared" si="31"/>
        <v>58278.048400000007</v>
      </c>
      <c r="AZ30" s="503">
        <f t="shared" si="22"/>
        <v>62314.271199999996</v>
      </c>
      <c r="BA30" s="506">
        <f>120597-4.6804</f>
        <v>120592.3196</v>
      </c>
      <c r="BB30" s="503">
        <v>3842083.7</v>
      </c>
      <c r="BC30" s="503">
        <f t="shared" si="23"/>
        <v>347480.61960000003</v>
      </c>
      <c r="BD30" s="945">
        <v>4126.8</v>
      </c>
      <c r="BE30" s="503">
        <v>29712.3</v>
      </c>
      <c r="BF30" s="503">
        <v>5780.6</v>
      </c>
      <c r="BG30" s="503">
        <v>295402.2</v>
      </c>
      <c r="BH30" s="503">
        <f t="shared" si="24"/>
        <v>335021.89999999997</v>
      </c>
      <c r="BI30" s="332" t="s">
        <v>601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305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9"/>
        <v>134.06690540164922</v>
      </c>
      <c r="BW30" s="323">
        <f t="shared" si="30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7"/>
        <v>3.2</v>
      </c>
      <c r="CC30" s="323">
        <v>7.82</v>
      </c>
      <c r="CD30" s="323">
        <v>11.19</v>
      </c>
      <c r="CE30" s="323">
        <f t="shared" si="28"/>
        <v>3.3699999999999992</v>
      </c>
    </row>
    <row r="31" spans="1:86" s="177" customFormat="1" ht="11.45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2160</v>
      </c>
      <c r="J31" s="600">
        <f>J43</f>
        <v>254519.5</v>
      </c>
      <c r="K31" s="600">
        <f t="shared" ref="K31:Y31" si="32">K43</f>
        <v>1663.3</v>
      </c>
      <c r="L31" s="600">
        <f t="shared" si="32"/>
        <v>256182.8</v>
      </c>
      <c r="M31" s="600">
        <f t="shared" si="32"/>
        <v>19733.8</v>
      </c>
      <c r="N31" s="600">
        <f t="shared" si="32"/>
        <v>236449</v>
      </c>
      <c r="O31" s="600">
        <f t="shared" si="32"/>
        <v>36254.9</v>
      </c>
      <c r="P31" s="600">
        <f t="shared" si="32"/>
        <v>108918.7</v>
      </c>
      <c r="Q31" s="600">
        <f t="shared" si="32"/>
        <v>188859.4</v>
      </c>
      <c r="R31" s="600">
        <f t="shared" si="32"/>
        <v>1282217.5</v>
      </c>
      <c r="S31" s="600">
        <f t="shared" si="32"/>
        <v>1471076.9</v>
      </c>
      <c r="T31" s="600">
        <f t="shared" si="32"/>
        <v>1579995.5999999999</v>
      </c>
      <c r="U31" s="600">
        <f t="shared" si="32"/>
        <v>596.4</v>
      </c>
      <c r="V31" s="600">
        <f t="shared" si="32"/>
        <v>347162</v>
      </c>
      <c r="W31" s="600">
        <f t="shared" si="32"/>
        <v>425904.80000000005</v>
      </c>
      <c r="X31" s="600">
        <f t="shared" si="32"/>
        <v>1708122.3</v>
      </c>
      <c r="Y31" s="600">
        <f t="shared" si="32"/>
        <v>2097973.2999999998</v>
      </c>
      <c r="Z31" s="204" t="s">
        <v>2160</v>
      </c>
      <c r="AA31" s="600">
        <f t="shared" ref="AA31:AP31" si="33">AA43</f>
        <v>0</v>
      </c>
      <c r="AB31" s="600">
        <f t="shared" si="33"/>
        <v>38512.6</v>
      </c>
      <c r="AC31" s="600">
        <f t="shared" si="33"/>
        <v>1286429.5</v>
      </c>
      <c r="AD31" s="600">
        <f t="shared" si="33"/>
        <v>1324942.1000000001</v>
      </c>
      <c r="AE31" s="600">
        <f t="shared" si="33"/>
        <v>0</v>
      </c>
      <c r="AF31" s="600">
        <f t="shared" si="33"/>
        <v>1884.6</v>
      </c>
      <c r="AG31" s="600">
        <f t="shared" si="33"/>
        <v>32287.9</v>
      </c>
      <c r="AH31" s="600">
        <f t="shared" si="33"/>
        <v>34172.5</v>
      </c>
      <c r="AI31" s="600">
        <f t="shared" si="33"/>
        <v>30832</v>
      </c>
      <c r="AJ31" s="600">
        <f t="shared" si="33"/>
        <v>334009.8</v>
      </c>
      <c r="AK31" s="600">
        <f t="shared" si="33"/>
        <v>26582.3</v>
      </c>
      <c r="AL31" s="600">
        <f t="shared" si="33"/>
        <v>360592.1</v>
      </c>
      <c r="AM31" s="600">
        <f t="shared" si="33"/>
        <v>30832</v>
      </c>
      <c r="AN31" s="600">
        <f t="shared" si="33"/>
        <v>374407</v>
      </c>
      <c r="AO31" s="600">
        <f t="shared" si="33"/>
        <v>1345299.7</v>
      </c>
      <c r="AP31" s="600">
        <f t="shared" si="33"/>
        <v>1719706.7000000002</v>
      </c>
      <c r="AQ31" s="204" t="s">
        <v>2160</v>
      </c>
      <c r="AR31" s="600">
        <f t="shared" ref="AR31:BH31" si="34">AR43</f>
        <v>7702.1</v>
      </c>
      <c r="AS31" s="600">
        <f t="shared" si="34"/>
        <v>91659.8</v>
      </c>
      <c r="AT31" s="600">
        <f t="shared" si="34"/>
        <v>42893.9</v>
      </c>
      <c r="AU31" s="600">
        <f t="shared" si="34"/>
        <v>634.4</v>
      </c>
      <c r="AV31" s="600">
        <f t="shared" si="34"/>
        <v>1580021.02</v>
      </c>
      <c r="AW31" s="600">
        <f t="shared" si="34"/>
        <v>14605</v>
      </c>
      <c r="AX31" s="600">
        <f t="shared" si="34"/>
        <v>1594626.02</v>
      </c>
      <c r="AY31" s="600">
        <f t="shared" si="34"/>
        <v>63785.040800000002</v>
      </c>
      <c r="AZ31" s="600">
        <f t="shared" si="34"/>
        <v>26589.661199999988</v>
      </c>
      <c r="BA31" s="600">
        <f t="shared" si="34"/>
        <v>90374.70199999999</v>
      </c>
      <c r="BB31" s="600">
        <f t="shared" si="34"/>
        <v>4276170.7</v>
      </c>
      <c r="BC31" s="600">
        <f t="shared" si="34"/>
        <v>346557.50199999998</v>
      </c>
      <c r="BD31" s="600">
        <f t="shared" si="34"/>
        <v>4853.7</v>
      </c>
      <c r="BE31" s="600">
        <f t="shared" si="34"/>
        <v>53503</v>
      </c>
      <c r="BF31" s="600">
        <f t="shared" si="34"/>
        <v>11175.3</v>
      </c>
      <c r="BG31" s="600">
        <f t="shared" si="34"/>
        <v>329468.59999999998</v>
      </c>
      <c r="BH31" s="600">
        <f t="shared" si="34"/>
        <v>399000.6</v>
      </c>
      <c r="BI31" s="204" t="s">
        <v>2160</v>
      </c>
      <c r="BJ31" s="599">
        <f>BJ43</f>
        <v>28.18</v>
      </c>
      <c r="BK31" s="599">
        <f t="shared" ref="BK31:BN31" si="35">BK43</f>
        <v>23.92</v>
      </c>
      <c r="BL31" s="599">
        <f t="shared" si="35"/>
        <v>13.66</v>
      </c>
      <c r="BM31" s="599">
        <f t="shared" si="35"/>
        <v>16.100000000000001</v>
      </c>
      <c r="BN31" s="599">
        <f t="shared" si="35"/>
        <v>9.43</v>
      </c>
      <c r="BO31" s="374">
        <v>2.3279727878953862</v>
      </c>
      <c r="BP31" s="673">
        <f t="shared" ref="BP31:CE31" si="36">BP43</f>
        <v>3812</v>
      </c>
      <c r="BQ31" s="673">
        <f t="shared" si="36"/>
        <v>1519</v>
      </c>
      <c r="BR31" s="673">
        <f t="shared" si="36"/>
        <v>5567</v>
      </c>
      <c r="BS31" s="673">
        <f t="shared" si="36"/>
        <v>65</v>
      </c>
      <c r="BT31" s="673">
        <f t="shared" si="36"/>
        <v>10963</v>
      </c>
      <c r="BU31" s="599">
        <f t="shared" si="36"/>
        <v>108.8407482072612</v>
      </c>
      <c r="BV31" s="599">
        <f t="shared" si="36"/>
        <v>144.1230520842835</v>
      </c>
      <c r="BW31" s="599">
        <f t="shared" si="36"/>
        <v>156.86460822767492</v>
      </c>
      <c r="BX31" s="599">
        <f t="shared" si="36"/>
        <v>6.9687998201441639</v>
      </c>
      <c r="BY31" s="599">
        <f t="shared" si="36"/>
        <v>4</v>
      </c>
      <c r="BZ31" s="599">
        <f t="shared" si="36"/>
        <v>3.97</v>
      </c>
      <c r="CA31" s="599">
        <f t="shared" si="36"/>
        <v>7.09</v>
      </c>
      <c r="CB31" s="599">
        <f t="shared" si="36"/>
        <v>3.1199999999999997</v>
      </c>
      <c r="CC31" s="599">
        <f t="shared" si="36"/>
        <v>7.49</v>
      </c>
      <c r="CD31" s="599">
        <f t="shared" si="36"/>
        <v>9.85</v>
      </c>
      <c r="CE31" s="599">
        <f t="shared" si="36"/>
        <v>2.3599999999999994</v>
      </c>
    </row>
    <row r="32" spans="1:86" s="177" customFormat="1" ht="11.45" customHeight="1">
      <c r="A32" s="175"/>
      <c r="B32" s="175"/>
      <c r="C32" s="175"/>
      <c r="D32" s="175"/>
      <c r="E32" s="175"/>
      <c r="F32" s="175"/>
      <c r="G32" s="175"/>
      <c r="H32" s="175"/>
      <c r="I32" s="332" t="s">
        <v>603</v>
      </c>
      <c r="J32" s="503">
        <v>244502.5</v>
      </c>
      <c r="K32" s="503">
        <v>1569.3</v>
      </c>
      <c r="L32" s="503">
        <f t="shared" si="11"/>
        <v>246071.8</v>
      </c>
      <c r="M32" s="503">
        <v>19028.900000000001</v>
      </c>
      <c r="N32" s="503">
        <f t="shared" si="12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3"/>
        <v>1350433.8</v>
      </c>
      <c r="T32" s="503">
        <f t="shared" si="14"/>
        <v>1445782.8</v>
      </c>
      <c r="U32" s="503">
        <v>569.29999999999995</v>
      </c>
      <c r="V32" s="503">
        <v>349551.2</v>
      </c>
      <c r="W32" s="503">
        <f t="shared" si="15"/>
        <v>384996.2</v>
      </c>
      <c r="X32" s="503">
        <f t="shared" si="16"/>
        <v>1578046</v>
      </c>
      <c r="Y32" s="503">
        <v>1948997.5</v>
      </c>
      <c r="Z32" s="332" t="s">
        <v>603</v>
      </c>
      <c r="AA32" s="317">
        <v>0</v>
      </c>
      <c r="AB32" s="503">
        <v>27159.9</v>
      </c>
      <c r="AC32" s="503">
        <v>1135185</v>
      </c>
      <c r="AD32" s="503">
        <f t="shared" si="17"/>
        <v>1162344.8999999999</v>
      </c>
      <c r="AE32" s="317">
        <v>0</v>
      </c>
      <c r="AF32" s="503">
        <v>1759.7</v>
      </c>
      <c r="AG32" s="503">
        <v>24416.1</v>
      </c>
      <c r="AH32" s="503">
        <f t="shared" si="18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9"/>
        <v>332744.69999999995</v>
      </c>
      <c r="AM32" s="506">
        <f t="shared" si="20"/>
        <v>29438.1</v>
      </c>
      <c r="AN32" s="506">
        <f t="shared" si="20"/>
        <v>340076.19999999995</v>
      </c>
      <c r="AO32" s="506">
        <f t="shared" si="20"/>
        <v>1181189.2000000002</v>
      </c>
      <c r="AP32" s="506">
        <f t="shared" si="20"/>
        <v>1521265.4</v>
      </c>
      <c r="AQ32" s="332" t="s">
        <v>603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21"/>
        <v>1458198.73</v>
      </c>
      <c r="AY32" s="503">
        <f>0.04*AX32</f>
        <v>58327.949200000003</v>
      </c>
      <c r="AZ32" s="503">
        <f t="shared" si="22"/>
        <v>44579.510699999999</v>
      </c>
      <c r="BA32" s="506">
        <f>102910.1-2.6401</f>
        <v>102907.4599</v>
      </c>
      <c r="BB32" s="503">
        <v>3877920.8</v>
      </c>
      <c r="BC32" s="503">
        <f t="shared" si="23"/>
        <v>348979.2599</v>
      </c>
      <c r="BD32" s="945">
        <v>4126.8</v>
      </c>
      <c r="BE32" s="503">
        <v>25725.3</v>
      </c>
      <c r="BF32" s="503">
        <v>5826.9</v>
      </c>
      <c r="BG32" s="503">
        <v>307282.5</v>
      </c>
      <c r="BH32" s="503">
        <f t="shared" si="24"/>
        <v>342961.5</v>
      </c>
      <c r="BI32" s="332" t="s">
        <v>603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305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49" si="37">SUM(BP32:BS32)</f>
        <v>10797</v>
      </c>
      <c r="BU32" s="323">
        <f t="shared" ref="BU32" si="38">AP32/AV32*100</f>
        <v>105.2194669806257</v>
      </c>
      <c r="BV32" s="323">
        <f t="shared" ref="BV32:BV38" si="39">AV32/BT32</f>
        <v>133.90777345558951</v>
      </c>
      <c r="BW32" s="323">
        <f t="shared" ref="BW32:BW38" si="40">AP32/BT32</f>
        <v>140.89704547559506</v>
      </c>
      <c r="BX32" s="323">
        <f t="shared" ref="BX32" si="41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7"/>
        <v>3.1899999999999995</v>
      </c>
      <c r="CC32" s="323">
        <v>7.7</v>
      </c>
      <c r="CD32" s="323">
        <v>11.11</v>
      </c>
      <c r="CE32" s="323">
        <f t="shared" si="28"/>
        <v>3.4099999999999993</v>
      </c>
    </row>
    <row r="33" spans="1:83" s="177" customFormat="1" ht="11.45" customHeight="1">
      <c r="A33" s="175"/>
      <c r="B33" s="175"/>
      <c r="C33" s="175"/>
      <c r="D33" s="175"/>
      <c r="E33" s="175"/>
      <c r="F33" s="175"/>
      <c r="G33" s="175"/>
      <c r="H33" s="175"/>
      <c r="I33" s="175" t="s">
        <v>604</v>
      </c>
      <c r="J33" s="508">
        <v>232100.9</v>
      </c>
      <c r="K33" s="508">
        <v>1574.7</v>
      </c>
      <c r="L33" s="508">
        <f t="shared" si="11"/>
        <v>233675.6</v>
      </c>
      <c r="M33" s="508">
        <v>20154.900000000001</v>
      </c>
      <c r="N33" s="508">
        <f t="shared" si="12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3"/>
        <v>1365492.1</v>
      </c>
      <c r="T33" s="508">
        <f t="shared" si="14"/>
        <v>1462875.3</v>
      </c>
      <c r="U33" s="508">
        <v>530.1</v>
      </c>
      <c r="V33" s="508">
        <v>325861</v>
      </c>
      <c r="W33" s="508">
        <f t="shared" si="15"/>
        <v>374776.3</v>
      </c>
      <c r="X33" s="508">
        <f t="shared" si="16"/>
        <v>1579542.9000000001</v>
      </c>
      <c r="Y33" s="508">
        <v>1951470.9</v>
      </c>
      <c r="Z33" s="175" t="s">
        <v>604</v>
      </c>
      <c r="AA33" s="252">
        <v>0</v>
      </c>
      <c r="AB33" s="508">
        <v>27134.400000000001</v>
      </c>
      <c r="AC33" s="508">
        <v>1141144.6000000001</v>
      </c>
      <c r="AD33" s="508">
        <f t="shared" si="17"/>
        <v>1168279</v>
      </c>
      <c r="AE33" s="252">
        <v>0</v>
      </c>
      <c r="AF33" s="508">
        <v>1727.9</v>
      </c>
      <c r="AG33" s="508">
        <v>25935.7</v>
      </c>
      <c r="AH33" s="508">
        <f t="shared" si="18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9"/>
        <v>336031.5</v>
      </c>
      <c r="AM33" s="521">
        <f t="shared" si="20"/>
        <v>29125.1</v>
      </c>
      <c r="AN33" s="521">
        <f t="shared" si="20"/>
        <v>343461.89999999997</v>
      </c>
      <c r="AO33" s="521">
        <f t="shared" si="20"/>
        <v>1188512.2</v>
      </c>
      <c r="AP33" s="521">
        <f t="shared" si="20"/>
        <v>1531974.1</v>
      </c>
      <c r="AQ33" s="175" t="s">
        <v>604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21"/>
        <v>1473462.1500000001</v>
      </c>
      <c r="AY33" s="508">
        <f t="shared" ref="AY33:AY43" si="42">0.04*AX33</f>
        <v>58938.486000000004</v>
      </c>
      <c r="AZ33" s="508">
        <f t="shared" si="22"/>
        <v>32715.6302</v>
      </c>
      <c r="BA33" s="521">
        <f>91655.3-1.1838</f>
        <v>91654.116200000004</v>
      </c>
      <c r="BB33" s="508">
        <v>3945983.1</v>
      </c>
      <c r="BC33" s="508">
        <f t="shared" si="23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4"/>
        <v>345518.69999999995</v>
      </c>
      <c r="BI33" s="175" t="s">
        <v>604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305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7"/>
        <v>10799</v>
      </c>
      <c r="BU33" s="281">
        <f t="shared" ref="BU33:BU37" si="43">AP33/AV33*100</f>
        <v>104.72205684432588</v>
      </c>
      <c r="BV33" s="281">
        <f t="shared" si="39"/>
        <v>135.46581627928512</v>
      </c>
      <c r="BW33" s="281">
        <f t="shared" si="40"/>
        <v>141.86258912862303</v>
      </c>
      <c r="BX33" s="281">
        <f t="shared" ref="BX33:BX38" si="44">(M33+BA33)/AV33*100</f>
        <v>7.6429948458035639</v>
      </c>
      <c r="BY33" s="281">
        <v>4</v>
      </c>
      <c r="BZ33" s="281">
        <v>4.05</v>
      </c>
      <c r="CA33" s="281">
        <v>7.24</v>
      </c>
      <c r="CB33" s="281">
        <f t="shared" si="27"/>
        <v>3.1900000000000004</v>
      </c>
      <c r="CC33" s="281">
        <v>7.62</v>
      </c>
      <c r="CD33" s="281">
        <v>10.98</v>
      </c>
      <c r="CE33" s="281">
        <f t="shared" si="28"/>
        <v>3.3600000000000003</v>
      </c>
    </row>
    <row r="34" spans="1:83" s="177" customFormat="1" ht="11.45" customHeight="1">
      <c r="A34" s="175"/>
      <c r="B34" s="175"/>
      <c r="C34" s="175"/>
      <c r="D34" s="175"/>
      <c r="E34" s="175"/>
      <c r="F34" s="175"/>
      <c r="G34" s="175"/>
      <c r="H34" s="175"/>
      <c r="I34" s="332" t="s">
        <v>598</v>
      </c>
      <c r="J34" s="503">
        <v>226089.4</v>
      </c>
      <c r="K34" s="503">
        <v>1582.3</v>
      </c>
      <c r="L34" s="503">
        <f t="shared" si="11"/>
        <v>227671.69999999998</v>
      </c>
      <c r="M34" s="503">
        <v>18053.3</v>
      </c>
      <c r="N34" s="503">
        <f t="shared" si="12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3"/>
        <v>1375677.4000000001</v>
      </c>
      <c r="T34" s="503">
        <f t="shared" si="14"/>
        <v>1472770.4000000001</v>
      </c>
      <c r="U34" s="503">
        <v>521.1</v>
      </c>
      <c r="V34" s="503">
        <v>323334.29999999993</v>
      </c>
      <c r="W34" s="503">
        <f t="shared" si="15"/>
        <v>366566.79999999993</v>
      </c>
      <c r="X34" s="503">
        <f t="shared" si="16"/>
        <v>1585816.9</v>
      </c>
      <c r="Y34" s="503">
        <v>1960362.7</v>
      </c>
      <c r="Z34" s="332" t="s">
        <v>598</v>
      </c>
      <c r="AA34" s="317">
        <v>0</v>
      </c>
      <c r="AB34" s="503">
        <v>27392</v>
      </c>
      <c r="AC34" s="503">
        <v>1156210.6000000001</v>
      </c>
      <c r="AD34" s="503">
        <f t="shared" si="17"/>
        <v>1183602.6000000001</v>
      </c>
      <c r="AE34" s="317">
        <v>0</v>
      </c>
      <c r="AF34" s="503">
        <v>1662.3</v>
      </c>
      <c r="AG34" s="503">
        <v>27485.9</v>
      </c>
      <c r="AH34" s="503">
        <f t="shared" si="18"/>
        <v>29148.2</v>
      </c>
      <c r="AI34" s="506">
        <v>29644</v>
      </c>
      <c r="AJ34" s="506">
        <v>316659</v>
      </c>
      <c r="AK34" s="506">
        <v>21196.3</v>
      </c>
      <c r="AL34" s="506">
        <f t="shared" si="19"/>
        <v>337855.3</v>
      </c>
      <c r="AM34" s="506">
        <f t="shared" si="20"/>
        <v>29644</v>
      </c>
      <c r="AN34" s="506">
        <f t="shared" si="20"/>
        <v>345713.3</v>
      </c>
      <c r="AO34" s="506">
        <f t="shared" si="20"/>
        <v>1204892.8</v>
      </c>
      <c r="AP34" s="506">
        <f t="shared" si="20"/>
        <v>1550606.1</v>
      </c>
      <c r="AQ34" s="332" t="s">
        <v>598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21"/>
        <v>1484526.1899999997</v>
      </c>
      <c r="AY34" s="503">
        <f t="shared" si="42"/>
        <v>59381.047599999991</v>
      </c>
      <c r="AZ34" s="503">
        <f t="shared" si="22"/>
        <v>35757.491600000008</v>
      </c>
      <c r="BA34" s="506">
        <f>95141.5-2.9608</f>
        <v>95138.539199999999</v>
      </c>
      <c r="BB34" s="503">
        <v>4005371.6</v>
      </c>
      <c r="BC34" s="503">
        <f t="shared" si="23"/>
        <v>322810.23919999995</v>
      </c>
      <c r="BD34" s="945">
        <v>4126.8</v>
      </c>
      <c r="BE34" s="503">
        <v>27992.6</v>
      </c>
      <c r="BF34" s="503">
        <v>5827</v>
      </c>
      <c r="BG34" s="503">
        <v>312553.3</v>
      </c>
      <c r="BH34" s="503">
        <f t="shared" si="24"/>
        <v>350499.69999999995</v>
      </c>
      <c r="BI34" s="332" t="s">
        <v>598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305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7"/>
        <v>10803</v>
      </c>
      <c r="BU34" s="323">
        <f t="shared" si="43"/>
        <v>105.28174063098552</v>
      </c>
      <c r="BV34" s="323">
        <f t="shared" si="39"/>
        <v>136.33396186244559</v>
      </c>
      <c r="BW34" s="323">
        <f t="shared" si="40"/>
        <v>143.53476811996669</v>
      </c>
      <c r="BX34" s="323">
        <f t="shared" si="44"/>
        <v>7.6854036987205321</v>
      </c>
      <c r="BY34" s="323">
        <v>4</v>
      </c>
      <c r="BZ34" s="323">
        <v>4.08</v>
      </c>
      <c r="CA34" s="323">
        <v>7.24</v>
      </c>
      <c r="CB34" s="323">
        <f t="shared" si="27"/>
        <v>3.16</v>
      </c>
      <c r="CC34" s="323">
        <v>7.51</v>
      </c>
      <c r="CD34" s="323">
        <v>10.83</v>
      </c>
      <c r="CE34" s="323">
        <f t="shared" si="28"/>
        <v>3.3200000000000003</v>
      </c>
    </row>
    <row r="35" spans="1:83" s="177" customFormat="1" ht="11.45" customHeight="1">
      <c r="A35" s="175"/>
      <c r="B35" s="175"/>
      <c r="C35" s="175"/>
      <c r="D35" s="175"/>
      <c r="E35" s="175"/>
      <c r="F35" s="175"/>
      <c r="G35" s="175"/>
      <c r="H35" s="175"/>
      <c r="I35" s="175" t="s">
        <v>605</v>
      </c>
      <c r="J35" s="508">
        <v>224139.1</v>
      </c>
      <c r="K35" s="508">
        <v>1588.6</v>
      </c>
      <c r="L35" s="508">
        <f t="shared" si="11"/>
        <v>225727.7</v>
      </c>
      <c r="M35" s="508">
        <v>19832.5</v>
      </c>
      <c r="N35" s="508">
        <f t="shared" si="12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3"/>
        <v>1388062.4</v>
      </c>
      <c r="T35" s="508">
        <f t="shared" si="14"/>
        <v>1485668.5999999999</v>
      </c>
      <c r="U35" s="508">
        <v>502.8</v>
      </c>
      <c r="V35" s="508">
        <v>319958.2</v>
      </c>
      <c r="W35" s="508">
        <f t="shared" si="15"/>
        <v>365259.89999999997</v>
      </c>
      <c r="X35" s="508">
        <f t="shared" si="16"/>
        <v>1594460.4</v>
      </c>
      <c r="Y35" s="508">
        <v>1969268.9999999995</v>
      </c>
      <c r="Z35" s="175" t="s">
        <v>605</v>
      </c>
      <c r="AA35" s="252">
        <v>0</v>
      </c>
      <c r="AB35" s="508">
        <v>28402.400000000001</v>
      </c>
      <c r="AC35" s="508">
        <v>1164058.5</v>
      </c>
      <c r="AD35" s="508">
        <f t="shared" si="17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8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9"/>
        <v>340494.89999999997</v>
      </c>
      <c r="AM35" s="521">
        <f t="shared" si="20"/>
        <v>29563.200000000001</v>
      </c>
      <c r="AN35" s="521">
        <f t="shared" si="20"/>
        <v>349598.6</v>
      </c>
      <c r="AO35" s="521">
        <f t="shared" si="20"/>
        <v>1213774.7</v>
      </c>
      <c r="AP35" s="521">
        <f t="shared" si="20"/>
        <v>1563373.2999999998</v>
      </c>
      <c r="AQ35" s="175" t="s">
        <v>605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21"/>
        <v>1497291.51</v>
      </c>
      <c r="AY35" s="508">
        <f t="shared" si="42"/>
        <v>59891.660400000001</v>
      </c>
      <c r="AZ35" s="508">
        <f t="shared" si="22"/>
        <v>33833.063399999992</v>
      </c>
      <c r="BA35" s="508">
        <f>93727.7-2.9762</f>
        <v>93724.723799999992</v>
      </c>
      <c r="BB35" s="508">
        <v>4083549.8</v>
      </c>
      <c r="BC35" s="508">
        <f t="shared" ref="BC35:BC43" si="45">L35+BA35</f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4"/>
        <v>353528.1</v>
      </c>
      <c r="BI35" s="175" t="s">
        <v>605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305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7"/>
        <v>10818</v>
      </c>
      <c r="BU35" s="281">
        <f t="shared" si="43"/>
        <v>105.22667902503345</v>
      </c>
      <c r="BV35" s="281">
        <f t="shared" si="39"/>
        <v>137.33772508781661</v>
      </c>
      <c r="BW35" s="281">
        <f t="shared" si="40"/>
        <v>144.51592715843961</v>
      </c>
      <c r="BX35" s="281">
        <f t="shared" si="44"/>
        <v>7.643247802541139</v>
      </c>
      <c r="BY35" s="281">
        <v>4</v>
      </c>
      <c r="BZ35" s="281">
        <v>4.01</v>
      </c>
      <c r="CA35" s="281">
        <v>7.15</v>
      </c>
      <c r="CB35" s="281">
        <f t="shared" si="27"/>
        <v>3.1400000000000006</v>
      </c>
      <c r="CC35" s="281">
        <v>7.55</v>
      </c>
      <c r="CD35" s="281">
        <v>10.73</v>
      </c>
      <c r="CE35" s="281">
        <f t="shared" si="28"/>
        <v>3.1800000000000006</v>
      </c>
    </row>
    <row r="36" spans="1:83" s="177" customFormat="1" ht="11.45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606</v>
      </c>
      <c r="J36" s="503">
        <v>225421.6</v>
      </c>
      <c r="K36" s="503">
        <v>1595.5</v>
      </c>
      <c r="L36" s="503">
        <f t="shared" si="11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3"/>
        <v>1393738.5</v>
      </c>
      <c r="T36" s="503">
        <f t="shared" si="14"/>
        <v>1492670.2</v>
      </c>
      <c r="U36" s="503">
        <v>497.4</v>
      </c>
      <c r="V36" s="503">
        <v>332488.80000000005</v>
      </c>
      <c r="W36" s="503">
        <f t="shared" si="15"/>
        <v>368401.2</v>
      </c>
      <c r="X36" s="503">
        <f t="shared" si="16"/>
        <v>1602532.3</v>
      </c>
      <c r="Y36" s="503">
        <v>1978874.9</v>
      </c>
      <c r="Z36" s="332" t="s">
        <v>606</v>
      </c>
      <c r="AA36" s="317">
        <v>0</v>
      </c>
      <c r="AB36" s="503">
        <v>30374.799999999999</v>
      </c>
      <c r="AC36" s="503">
        <v>1175868.5</v>
      </c>
      <c r="AD36" s="503">
        <f t="shared" si="17"/>
        <v>1206243.3</v>
      </c>
      <c r="AE36" s="317">
        <v>0</v>
      </c>
      <c r="AF36" s="503">
        <v>1767.9</v>
      </c>
      <c r="AG36" s="503">
        <v>30478.3</v>
      </c>
      <c r="AH36" s="503">
        <f t="shared" si="18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9"/>
        <v>342942</v>
      </c>
      <c r="AM36" s="506">
        <f t="shared" si="20"/>
        <v>30365.5</v>
      </c>
      <c r="AN36" s="506">
        <f t="shared" si="20"/>
        <v>352906.10000000003</v>
      </c>
      <c r="AO36" s="506">
        <f t="shared" si="20"/>
        <v>1228525.4000000001</v>
      </c>
      <c r="AP36" s="506">
        <f t="shared" si="20"/>
        <v>1581431.5</v>
      </c>
      <c r="AQ36" s="332" t="s">
        <v>606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21"/>
        <v>1504985.35</v>
      </c>
      <c r="AY36" s="503">
        <f t="shared" si="42"/>
        <v>60199.414000000004</v>
      </c>
      <c r="AZ36" s="503">
        <f t="shared" si="22"/>
        <v>44770.388299999991</v>
      </c>
      <c r="BA36" s="503">
        <f>104974.3-4.4977</f>
        <v>104969.8023</v>
      </c>
      <c r="BB36" s="503">
        <v>4148172.6</v>
      </c>
      <c r="BC36" s="503">
        <f t="shared" si="45"/>
        <v>331986.90230000002</v>
      </c>
      <c r="BD36" s="945">
        <v>4126.8</v>
      </c>
      <c r="BE36" s="503">
        <v>27907.3</v>
      </c>
      <c r="BF36" s="503">
        <v>6958.7</v>
      </c>
      <c r="BG36" s="503">
        <v>316133</v>
      </c>
      <c r="BH36" s="503">
        <f t="shared" si="24"/>
        <v>355125.8</v>
      </c>
      <c r="BI36" s="332" t="s">
        <v>606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305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7"/>
        <v>10842</v>
      </c>
      <c r="BU36" s="323">
        <f t="shared" si="43"/>
        <v>105.94229368402164</v>
      </c>
      <c r="BV36" s="323">
        <f t="shared" si="39"/>
        <v>137.68023888581445</v>
      </c>
      <c r="BW36" s="323">
        <f t="shared" si="40"/>
        <v>145.8616030252721</v>
      </c>
      <c r="BX36" s="323">
        <f t="shared" si="44"/>
        <v>8.286198624847648</v>
      </c>
      <c r="BY36" s="323">
        <v>4</v>
      </c>
      <c r="BZ36" s="323">
        <v>3.99</v>
      </c>
      <c r="CA36" s="323">
        <v>7.15</v>
      </c>
      <c r="CB36" s="323">
        <f t="shared" si="27"/>
        <v>3.16</v>
      </c>
      <c r="CC36" s="323">
        <v>7.52</v>
      </c>
      <c r="CD36" s="323">
        <v>10.64</v>
      </c>
      <c r="CE36" s="323">
        <f t="shared" si="28"/>
        <v>3.120000000000001</v>
      </c>
    </row>
    <row r="37" spans="1:83" s="177" customFormat="1" ht="11.45" customHeight="1">
      <c r="A37" s="175"/>
      <c r="B37" s="175"/>
      <c r="C37" s="175"/>
      <c r="D37" s="175"/>
      <c r="E37" s="175"/>
      <c r="F37" s="175"/>
      <c r="G37" s="175"/>
      <c r="H37" s="175"/>
      <c r="I37" s="175" t="s">
        <v>599</v>
      </c>
      <c r="J37" s="508">
        <v>227883.1</v>
      </c>
      <c r="K37" s="508">
        <v>1605.1</v>
      </c>
      <c r="L37" s="508">
        <f t="shared" si="11"/>
        <v>229488.2</v>
      </c>
      <c r="M37" s="508">
        <v>18765.099999999999</v>
      </c>
      <c r="N37" s="508">
        <f t="shared" si="12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3"/>
        <v>1409342.6</v>
      </c>
      <c r="T37" s="508">
        <f t="shared" si="14"/>
        <v>1515039.8</v>
      </c>
      <c r="U37" s="508">
        <v>569.29999999999995</v>
      </c>
      <c r="V37" s="508">
        <v>323666.3</v>
      </c>
      <c r="W37" s="508">
        <f t="shared" si="15"/>
        <v>379311</v>
      </c>
      <c r="X37" s="508">
        <f t="shared" si="16"/>
        <v>1620635</v>
      </c>
      <c r="Y37" s="508">
        <v>1997049.6999999997</v>
      </c>
      <c r="Z37" s="175" t="s">
        <v>599</v>
      </c>
      <c r="AA37" s="252">
        <v>0</v>
      </c>
      <c r="AB37" s="508">
        <v>33387.9</v>
      </c>
      <c r="AC37" s="508">
        <v>1202693.8</v>
      </c>
      <c r="AD37" s="508">
        <f t="shared" si="17"/>
        <v>1236081.7</v>
      </c>
      <c r="AE37" s="252">
        <v>0</v>
      </c>
      <c r="AF37" s="508">
        <v>1790.4</v>
      </c>
      <c r="AG37" s="508">
        <v>29688.6</v>
      </c>
      <c r="AH37" s="508">
        <f t="shared" si="18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9"/>
        <v>358933.2</v>
      </c>
      <c r="AM37" s="521">
        <f t="shared" si="20"/>
        <v>31563.9</v>
      </c>
      <c r="AN37" s="521">
        <f t="shared" si="20"/>
        <v>368943.7</v>
      </c>
      <c r="AO37" s="521">
        <f t="shared" si="20"/>
        <v>1257550.2000000002</v>
      </c>
      <c r="AP37" s="521">
        <f t="shared" si="20"/>
        <v>1626493.9</v>
      </c>
      <c r="AQ37" s="175" t="s">
        <v>599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21"/>
        <v>1526837.8900000001</v>
      </c>
      <c r="AY37" s="508">
        <f t="shared" si="42"/>
        <v>61073.515600000006</v>
      </c>
      <c r="AZ37" s="508">
        <f t="shared" ref="AZ37:AZ43" si="46">BA37-AY37</f>
        <v>32530.287499999999</v>
      </c>
      <c r="BA37" s="508">
        <f>93608.8-4.9969</f>
        <v>93603.803100000005</v>
      </c>
      <c r="BB37" s="508">
        <v>3978771.9</v>
      </c>
      <c r="BC37" s="508">
        <f t="shared" si="45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4"/>
        <v>369517.9</v>
      </c>
      <c r="BI37" s="175" t="s">
        <v>599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305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7"/>
        <v>10937</v>
      </c>
      <c r="BU37" s="281">
        <f t="shared" si="43"/>
        <v>107.35275824261561</v>
      </c>
      <c r="BV37" s="281">
        <f t="shared" si="39"/>
        <v>138.52910213038311</v>
      </c>
      <c r="BW37" s="281">
        <f t="shared" si="40"/>
        <v>148.71481210569624</v>
      </c>
      <c r="BX37" s="281">
        <f t="shared" si="44"/>
        <v>7.4166350629917526</v>
      </c>
      <c r="BY37" s="281">
        <v>4</v>
      </c>
      <c r="BZ37" s="281">
        <v>3.99</v>
      </c>
      <c r="CA37" s="281">
        <v>7.18</v>
      </c>
      <c r="CB37" s="281">
        <f t="shared" si="27"/>
        <v>3.1899999999999995</v>
      </c>
      <c r="CC37" s="281">
        <v>7.62</v>
      </c>
      <c r="CD37" s="281">
        <v>10.43</v>
      </c>
      <c r="CE37" s="281">
        <f t="shared" si="28"/>
        <v>2.8099999999999996</v>
      </c>
    </row>
    <row r="38" spans="1:83" s="177" customFormat="1" ht="11.45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607</v>
      </c>
      <c r="J38" s="503">
        <v>229783.9</v>
      </c>
      <c r="K38" s="503">
        <v>1614.1</v>
      </c>
      <c r="L38" s="503">
        <f t="shared" si="11"/>
        <v>231398</v>
      </c>
      <c r="M38" s="503">
        <v>19620.8</v>
      </c>
      <c r="N38" s="503">
        <f t="shared" si="12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3"/>
        <v>1401753.9000000001</v>
      </c>
      <c r="T38" s="503">
        <f t="shared" si="14"/>
        <v>1509784.6</v>
      </c>
      <c r="U38" s="503">
        <v>589.20000000000005</v>
      </c>
      <c r="V38" s="503">
        <v>323298.90000000002</v>
      </c>
      <c r="W38" s="503">
        <f t="shared" si="15"/>
        <v>373236.7</v>
      </c>
      <c r="X38" s="503">
        <f t="shared" si="16"/>
        <v>1614120.3</v>
      </c>
      <c r="Y38" s="503">
        <v>1993234.6</v>
      </c>
      <c r="Z38" s="332" t="s">
        <v>607</v>
      </c>
      <c r="AA38" s="317">
        <v>0</v>
      </c>
      <c r="AB38" s="503">
        <v>35504.300000000003</v>
      </c>
      <c r="AC38" s="503">
        <v>1202929.3999999999</v>
      </c>
      <c r="AD38" s="503">
        <f t="shared" si="17"/>
        <v>1238433.7</v>
      </c>
      <c r="AE38" s="317">
        <v>0</v>
      </c>
      <c r="AF38" s="503">
        <v>1817.6</v>
      </c>
      <c r="AG38" s="503">
        <v>32525.3</v>
      </c>
      <c r="AH38" s="503">
        <f t="shared" si="18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9"/>
        <v>354632.5</v>
      </c>
      <c r="AM38" s="506">
        <f t="shared" si="20"/>
        <v>31135.599999999999</v>
      </c>
      <c r="AN38" s="506">
        <f t="shared" si="20"/>
        <v>366885.2</v>
      </c>
      <c r="AO38" s="506">
        <f t="shared" si="20"/>
        <v>1260523.8999999999</v>
      </c>
      <c r="AP38" s="506">
        <f t="shared" si="20"/>
        <v>1627409.0999999999</v>
      </c>
      <c r="AQ38" s="332" t="s">
        <v>607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21"/>
        <v>1522547.97</v>
      </c>
      <c r="AY38" s="503">
        <f t="shared" si="42"/>
        <v>60901.918799999999</v>
      </c>
      <c r="AZ38" s="503">
        <f t="shared" si="46"/>
        <v>30405.180099999998</v>
      </c>
      <c r="BA38" s="503">
        <f>91311.7-4.6011</f>
        <v>91307.098899999997</v>
      </c>
      <c r="BB38" s="503">
        <v>3968534.8</v>
      </c>
      <c r="BC38" s="503">
        <f t="shared" si="45"/>
        <v>322705.09889999998</v>
      </c>
      <c r="BD38" s="945">
        <v>4126.8</v>
      </c>
      <c r="BE38" s="503">
        <v>27671.9</v>
      </c>
      <c r="BF38" s="503">
        <v>9010.5</v>
      </c>
      <c r="BG38" s="503">
        <v>324975.5</v>
      </c>
      <c r="BH38" s="503">
        <f t="shared" si="24"/>
        <v>365784.7</v>
      </c>
      <c r="BI38" s="332" t="s">
        <v>607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305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7"/>
        <v>10937</v>
      </c>
      <c r="BU38" s="323">
        <f>AP38/AV38*100</f>
        <v>107.78619643270748</v>
      </c>
      <c r="BV38" s="323">
        <f t="shared" si="39"/>
        <v>138.04967267075065</v>
      </c>
      <c r="BW38" s="323">
        <f t="shared" si="40"/>
        <v>148.79849135960501</v>
      </c>
      <c r="BX38" s="323">
        <f t="shared" si="44"/>
        <v>7.3469518516904673</v>
      </c>
      <c r="BY38" s="323">
        <v>4</v>
      </c>
      <c r="BZ38" s="323">
        <v>4.01</v>
      </c>
      <c r="CA38" s="323">
        <v>7.13</v>
      </c>
      <c r="CB38" s="323">
        <f t="shared" si="27"/>
        <v>3.12</v>
      </c>
      <c r="CC38" s="323">
        <v>7.55</v>
      </c>
      <c r="CD38" s="323">
        <v>10.59</v>
      </c>
      <c r="CE38" s="323">
        <f t="shared" si="28"/>
        <v>3.04</v>
      </c>
    </row>
    <row r="39" spans="1:83" s="177" customFormat="1" ht="11.45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608</v>
      </c>
      <c r="J39" s="508">
        <v>231253.1</v>
      </c>
      <c r="K39" s="508">
        <v>1621.5</v>
      </c>
      <c r="L39" s="508">
        <f t="shared" si="11"/>
        <v>232874.6</v>
      </c>
      <c r="M39" s="508">
        <v>20604.400000000001</v>
      </c>
      <c r="N39" s="508">
        <f t="shared" si="12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3"/>
        <v>1408172.7</v>
      </c>
      <c r="T39" s="508">
        <f t="shared" si="14"/>
        <v>1515343.3</v>
      </c>
      <c r="U39" s="508">
        <v>493.8</v>
      </c>
      <c r="V39" s="508">
        <v>322285.09999999998</v>
      </c>
      <c r="W39" s="508">
        <f t="shared" si="15"/>
        <v>371773.7</v>
      </c>
      <c r="X39" s="508">
        <f t="shared" si="16"/>
        <v>1620936.7</v>
      </c>
      <c r="Y39" s="508">
        <v>2003903.4</v>
      </c>
      <c r="Z39" s="175" t="s">
        <v>608</v>
      </c>
      <c r="AA39" s="252">
        <v>0</v>
      </c>
      <c r="AB39" s="508">
        <v>34959.800000000003</v>
      </c>
      <c r="AC39" s="508">
        <v>1215791.3999999999</v>
      </c>
      <c r="AD39" s="508">
        <f t="shared" si="17"/>
        <v>1250751.2</v>
      </c>
      <c r="AE39" s="252">
        <v>0</v>
      </c>
      <c r="AF39" s="508">
        <v>1895.5</v>
      </c>
      <c r="AG39" s="508">
        <v>32039.9</v>
      </c>
      <c r="AH39" s="508">
        <f t="shared" si="18"/>
        <v>33935.4</v>
      </c>
      <c r="AI39" s="521">
        <v>30964.7</v>
      </c>
      <c r="AJ39" s="521">
        <v>328946.7</v>
      </c>
      <c r="AK39" s="521">
        <v>25258</v>
      </c>
      <c r="AL39" s="521">
        <f t="shared" si="19"/>
        <v>354204.7</v>
      </c>
      <c r="AM39" s="521">
        <f t="shared" si="20"/>
        <v>30964.7</v>
      </c>
      <c r="AN39" s="521">
        <f t="shared" si="20"/>
        <v>365802</v>
      </c>
      <c r="AO39" s="521">
        <f t="shared" si="20"/>
        <v>1273089.2999999998</v>
      </c>
      <c r="AP39" s="521">
        <f t="shared" si="20"/>
        <v>1638891.2999999998</v>
      </c>
      <c r="AQ39" s="175" t="s">
        <v>608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21"/>
        <v>1528709.35</v>
      </c>
      <c r="AY39" s="508">
        <f t="shared" si="42"/>
        <v>61148.374000000003</v>
      </c>
      <c r="AZ39" s="508">
        <f t="shared" si="46"/>
        <v>27763.788299999993</v>
      </c>
      <c r="BA39" s="508">
        <f>88916.7-4.5377</f>
        <v>88912.162299999996</v>
      </c>
      <c r="BB39" s="508">
        <v>4063379.5</v>
      </c>
      <c r="BC39" s="508">
        <f t="shared" si="45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4"/>
        <v>365284.3</v>
      </c>
      <c r="BI39" s="175" t="s">
        <v>608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305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7"/>
        <v>10938</v>
      </c>
      <c r="BU39" s="281">
        <f t="shared" ref="BU39:BU41" si="47">AP39/AV39*100</f>
        <v>108.14880031500509</v>
      </c>
      <c r="BV39" s="281">
        <f t="shared" ref="BV39:BV43" si="48">AV39/BT39</f>
        <v>138.54489394770525</v>
      </c>
      <c r="BW39" s="281">
        <f t="shared" ref="BW39:BW43" si="49">AP39/BT39</f>
        <v>149.83464070213932</v>
      </c>
      <c r="BX39" s="281">
        <f t="shared" ref="BX39:BX41" si="50">(M39+BA39)/AV39*100</f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7"/>
        <v>3.08</v>
      </c>
      <c r="CC39" s="281">
        <v>7.35</v>
      </c>
      <c r="CD39" s="281">
        <v>10.37</v>
      </c>
      <c r="CE39" s="281">
        <f t="shared" si="28"/>
        <v>3.0199999999999996</v>
      </c>
    </row>
    <row r="40" spans="1:83" s="177" customFormat="1" ht="11.45" customHeight="1">
      <c r="A40" s="175"/>
      <c r="B40" s="175"/>
      <c r="C40" s="175"/>
      <c r="D40" s="175"/>
      <c r="E40" s="815"/>
      <c r="F40" s="815"/>
      <c r="G40" s="175"/>
      <c r="H40" s="175"/>
      <c r="I40" s="332" t="s">
        <v>600</v>
      </c>
      <c r="J40" s="503">
        <v>230291.6</v>
      </c>
      <c r="K40" s="503">
        <v>1632.2</v>
      </c>
      <c r="L40" s="503">
        <f t="shared" si="11"/>
        <v>231923.80000000002</v>
      </c>
      <c r="M40" s="503">
        <v>19237.099999999999</v>
      </c>
      <c r="N40" s="503">
        <f t="shared" si="12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3"/>
        <v>1416681.2000000002</v>
      </c>
      <c r="T40" s="503">
        <f t="shared" si="14"/>
        <v>1522333.9000000001</v>
      </c>
      <c r="U40" s="503">
        <v>538.4</v>
      </c>
      <c r="V40" s="503">
        <v>321156.20000000007</v>
      </c>
      <c r="W40" s="503">
        <f t="shared" si="15"/>
        <v>375555.20000000007</v>
      </c>
      <c r="X40" s="503">
        <f t="shared" si="16"/>
        <v>1629906.3000000003</v>
      </c>
      <c r="Y40" s="503">
        <v>2015073.2</v>
      </c>
      <c r="Z40" s="332" t="s">
        <v>600</v>
      </c>
      <c r="AA40" s="317">
        <v>0</v>
      </c>
      <c r="AB40" s="503">
        <v>35907.599999999999</v>
      </c>
      <c r="AC40" s="503">
        <v>1227114.7</v>
      </c>
      <c r="AD40" s="503">
        <f t="shared" si="17"/>
        <v>1263022.3</v>
      </c>
      <c r="AE40" s="317">
        <v>0</v>
      </c>
      <c r="AF40" s="503">
        <v>1903.6</v>
      </c>
      <c r="AG40" s="503">
        <v>33119.1</v>
      </c>
      <c r="AH40" s="503">
        <f t="shared" si="18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9"/>
        <v>350282.3</v>
      </c>
      <c r="AM40" s="506">
        <f t="shared" si="20"/>
        <v>30946.2</v>
      </c>
      <c r="AN40" s="506">
        <f t="shared" si="20"/>
        <v>362673</v>
      </c>
      <c r="AO40" s="506">
        <f t="shared" si="20"/>
        <v>1285654.3</v>
      </c>
      <c r="AP40" s="506">
        <f t="shared" si="20"/>
        <v>1648327.3</v>
      </c>
      <c r="AQ40" s="332" t="s">
        <v>600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21"/>
        <v>1535715.71</v>
      </c>
      <c r="AY40" s="503">
        <f t="shared" si="42"/>
        <v>61428.628400000001</v>
      </c>
      <c r="AZ40" s="503">
        <f t="shared" si="46"/>
        <v>27257.088699999993</v>
      </c>
      <c r="BA40" s="503">
        <f>88694-8.2829</f>
        <v>88685.717099999994</v>
      </c>
      <c r="BB40" s="503">
        <v>4092218.6</v>
      </c>
      <c r="BC40" s="503">
        <f t="shared" si="45"/>
        <v>320609.5171</v>
      </c>
      <c r="BD40" s="945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4"/>
        <v>361990.1</v>
      </c>
      <c r="BI40" s="332" t="s">
        <v>600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305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7"/>
        <v>10942</v>
      </c>
      <c r="BU40" s="323">
        <f t="shared" si="47"/>
        <v>108.27223412458468</v>
      </c>
      <c r="BV40" s="323">
        <f t="shared" si="48"/>
        <v>139.13283768963626</v>
      </c>
      <c r="BW40" s="323">
        <f t="shared" si="49"/>
        <v>150.64223176750139</v>
      </c>
      <c r="BX40" s="323">
        <f t="shared" si="50"/>
        <v>7.0890317235150633</v>
      </c>
      <c r="BY40" s="323">
        <v>4</v>
      </c>
      <c r="BZ40" s="323">
        <v>4.01</v>
      </c>
      <c r="CA40" s="323">
        <v>7.11</v>
      </c>
      <c r="CB40" s="323">
        <f t="shared" si="27"/>
        <v>3.1000000000000005</v>
      </c>
      <c r="CC40" s="323">
        <v>7.36</v>
      </c>
      <c r="CD40" s="323">
        <v>10.220000000000001</v>
      </c>
      <c r="CE40" s="323">
        <f t="shared" si="28"/>
        <v>2.8600000000000003</v>
      </c>
    </row>
    <row r="41" spans="1:83" s="177" customFormat="1" ht="11.45" customHeight="1">
      <c r="A41" s="175"/>
      <c r="B41" s="175"/>
      <c r="C41" s="175"/>
      <c r="D41" s="175"/>
      <c r="E41" s="815"/>
      <c r="F41" s="815"/>
      <c r="G41" s="175"/>
      <c r="H41" s="175"/>
      <c r="I41" s="175" t="s">
        <v>609</v>
      </c>
      <c r="J41" s="508">
        <v>254121.9</v>
      </c>
      <c r="K41" s="508">
        <v>1643.4</v>
      </c>
      <c r="L41" s="508">
        <f t="shared" si="11"/>
        <v>255765.3</v>
      </c>
      <c r="M41" s="508">
        <v>18973.400000000001</v>
      </c>
      <c r="N41" s="508">
        <f t="shared" si="12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3"/>
        <v>1426384.3</v>
      </c>
      <c r="T41" s="508">
        <f t="shared" si="14"/>
        <v>1531084.2</v>
      </c>
      <c r="U41" s="508">
        <v>528.5</v>
      </c>
      <c r="V41" s="508">
        <v>339789.3</v>
      </c>
      <c r="W41" s="508">
        <f t="shared" si="15"/>
        <v>403269.6</v>
      </c>
      <c r="X41" s="508">
        <f t="shared" si="16"/>
        <v>1663704.7000000002</v>
      </c>
      <c r="Y41" s="508">
        <v>2051227</v>
      </c>
      <c r="Z41" s="175" t="s">
        <v>609</v>
      </c>
      <c r="AA41" s="252">
        <v>0</v>
      </c>
      <c r="AB41" s="508">
        <v>36425.4</v>
      </c>
      <c r="AC41" s="508">
        <v>1243034</v>
      </c>
      <c r="AD41" s="508">
        <f t="shared" si="17"/>
        <v>1279459.3999999999</v>
      </c>
      <c r="AE41" s="252">
        <v>0</v>
      </c>
      <c r="AF41" s="508">
        <v>1920.9</v>
      </c>
      <c r="AG41" s="508">
        <v>34703</v>
      </c>
      <c r="AH41" s="508">
        <f t="shared" si="18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9"/>
        <v>350828.80000000005</v>
      </c>
      <c r="AM41" s="521">
        <f t="shared" si="20"/>
        <v>30835.1</v>
      </c>
      <c r="AN41" s="521">
        <f t="shared" si="20"/>
        <v>363179.2</v>
      </c>
      <c r="AO41" s="521">
        <f t="shared" si="20"/>
        <v>1303732.8999999999</v>
      </c>
      <c r="AP41" s="521">
        <f t="shared" si="20"/>
        <v>1666912.0999999999</v>
      </c>
      <c r="AQ41" s="175" t="s">
        <v>609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21"/>
        <v>1545082.52</v>
      </c>
      <c r="AY41" s="508">
        <f t="shared" si="42"/>
        <v>61803.300800000005</v>
      </c>
      <c r="AZ41" s="508">
        <f t="shared" si="46"/>
        <v>21684.203600000001</v>
      </c>
      <c r="BA41" s="508">
        <f>83495.5-7.9956</f>
        <v>83487.504400000005</v>
      </c>
      <c r="BB41" s="508">
        <v>4152103.2</v>
      </c>
      <c r="BC41" s="508">
        <f t="shared" si="45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4"/>
        <v>368492.9</v>
      </c>
      <c r="BI41" s="175" t="s">
        <v>609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305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7"/>
        <v>10942</v>
      </c>
      <c r="BU41" s="281">
        <f t="shared" si="47"/>
        <v>108.8689279088503</v>
      </c>
      <c r="BV41" s="281">
        <f t="shared" si="48"/>
        <v>139.93038932553463</v>
      </c>
      <c r="BW41" s="281">
        <f t="shared" si="49"/>
        <v>152.34071467738985</v>
      </c>
      <c r="BX41" s="281">
        <f t="shared" si="50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7"/>
        <v>3.0700000000000003</v>
      </c>
      <c r="CC41" s="281">
        <v>7.41</v>
      </c>
      <c r="CD41" s="281">
        <v>10.09</v>
      </c>
      <c r="CE41" s="281">
        <f t="shared" si="28"/>
        <v>2.6799999999999997</v>
      </c>
    </row>
    <row r="42" spans="1:83" s="177" customFormat="1" ht="11.45" customHeight="1">
      <c r="A42" s="175"/>
      <c r="B42" s="175"/>
      <c r="C42" s="175"/>
      <c r="D42" s="175"/>
      <c r="E42" s="815"/>
      <c r="F42" s="815"/>
      <c r="G42" s="175"/>
      <c r="H42" s="175"/>
      <c r="I42" s="332" t="s">
        <v>610</v>
      </c>
      <c r="J42" s="503">
        <v>243684</v>
      </c>
      <c r="K42" s="503">
        <v>1651.4</v>
      </c>
      <c r="L42" s="503">
        <f t="shared" si="11"/>
        <v>245335.4</v>
      </c>
      <c r="M42" s="503">
        <v>20187.3</v>
      </c>
      <c r="N42" s="503">
        <f t="shared" si="12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3"/>
        <v>1436944.8</v>
      </c>
      <c r="T42" s="503">
        <f t="shared" si="14"/>
        <v>1542970.2</v>
      </c>
      <c r="U42" s="503">
        <v>544.20000000000005</v>
      </c>
      <c r="V42" s="503">
        <v>330829.40000000002</v>
      </c>
      <c r="W42" s="503">
        <f t="shared" si="15"/>
        <v>394861.3</v>
      </c>
      <c r="X42" s="503">
        <f t="shared" si="16"/>
        <v>1662637.1</v>
      </c>
      <c r="Y42" s="503">
        <v>2051973.3</v>
      </c>
      <c r="Z42" s="332" t="s">
        <v>610</v>
      </c>
      <c r="AA42" s="317">
        <v>0</v>
      </c>
      <c r="AB42" s="503">
        <v>38938.6</v>
      </c>
      <c r="AC42" s="503">
        <v>1257049.8999999999</v>
      </c>
      <c r="AD42" s="503">
        <f t="shared" si="17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8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9"/>
        <v>351619.60000000003</v>
      </c>
      <c r="AM42" s="506">
        <f t="shared" si="20"/>
        <v>30747.5</v>
      </c>
      <c r="AN42" s="506">
        <f t="shared" si="20"/>
        <v>366187.60000000003</v>
      </c>
      <c r="AO42" s="506">
        <f t="shared" si="20"/>
        <v>1317642.3999999999</v>
      </c>
      <c r="AP42" s="506">
        <f t="shared" si="20"/>
        <v>1683830</v>
      </c>
      <c r="AQ42" s="332" t="s">
        <v>610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 t="shared" si="42"/>
        <v>62311.744400000003</v>
      </c>
      <c r="AZ42" s="503">
        <f t="shared" si="46"/>
        <v>22630.219799999999</v>
      </c>
      <c r="BA42" s="503">
        <f>84949.8-7.8358</f>
        <v>84941.964200000002</v>
      </c>
      <c r="BB42" s="503">
        <v>4197247.3</v>
      </c>
      <c r="BC42" s="503">
        <f t="shared" si="45"/>
        <v>330277.36420000001</v>
      </c>
      <c r="BD42" s="945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4"/>
        <v>378478.6</v>
      </c>
      <c r="BI42" s="332" t="s">
        <v>610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305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7"/>
        <v>10950</v>
      </c>
      <c r="BU42" s="323">
        <f>AP42/AV42*100</f>
        <v>109.12809958252279</v>
      </c>
      <c r="BV42" s="323">
        <f t="shared" si="48"/>
        <v>140.91185479452056</v>
      </c>
      <c r="BW42" s="323">
        <f t="shared" si="49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7"/>
        <v>3.0600000000000005</v>
      </c>
      <c r="CC42" s="323">
        <v>7.45</v>
      </c>
      <c r="CD42" s="323">
        <v>10.050000000000001</v>
      </c>
      <c r="CE42" s="323">
        <f t="shared" si="28"/>
        <v>2.6000000000000005</v>
      </c>
    </row>
    <row r="43" spans="1:83" s="177" customFormat="1" ht="11.25" customHeight="1">
      <c r="A43" s="175"/>
      <c r="B43" s="175"/>
      <c r="C43" s="175"/>
      <c r="D43" s="175"/>
      <c r="E43" s="815"/>
      <c r="F43" s="815"/>
      <c r="G43" s="175"/>
      <c r="H43" s="175"/>
      <c r="I43" s="175" t="s">
        <v>601</v>
      </c>
      <c r="J43" s="508">
        <v>254519.5</v>
      </c>
      <c r="K43" s="508">
        <v>1663.3</v>
      </c>
      <c r="L43" s="508">
        <f t="shared" si="11"/>
        <v>256182.8</v>
      </c>
      <c r="M43" s="508">
        <v>19733.8</v>
      </c>
      <c r="N43" s="508">
        <f t="shared" si="12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3"/>
        <v>1471076.9</v>
      </c>
      <c r="T43" s="508">
        <f t="shared" si="14"/>
        <v>1579995.5999999999</v>
      </c>
      <c r="U43" s="508">
        <v>596.4</v>
      </c>
      <c r="V43" s="508">
        <v>347162</v>
      </c>
      <c r="W43" s="508">
        <f t="shared" si="15"/>
        <v>425904.80000000005</v>
      </c>
      <c r="X43" s="508">
        <f t="shared" si="16"/>
        <v>1708122.3</v>
      </c>
      <c r="Y43" s="508">
        <v>2097973.2999999998</v>
      </c>
      <c r="Z43" s="175" t="s">
        <v>601</v>
      </c>
      <c r="AA43" s="252">
        <v>0</v>
      </c>
      <c r="AB43" s="508">
        <v>38512.6</v>
      </c>
      <c r="AC43" s="508">
        <v>1286429.5</v>
      </c>
      <c r="AD43" s="508">
        <f t="shared" si="17"/>
        <v>1324942.1000000001</v>
      </c>
      <c r="AE43" s="252">
        <v>0</v>
      </c>
      <c r="AF43" s="508">
        <v>1884.6</v>
      </c>
      <c r="AG43" s="508">
        <v>32287.9</v>
      </c>
      <c r="AH43" s="508">
        <f t="shared" si="18"/>
        <v>34172.5</v>
      </c>
      <c r="AI43" s="521">
        <v>30832</v>
      </c>
      <c r="AJ43" s="521">
        <v>334009.8</v>
      </c>
      <c r="AK43" s="521">
        <v>26582.3</v>
      </c>
      <c r="AL43" s="521">
        <f t="shared" si="19"/>
        <v>360592.1</v>
      </c>
      <c r="AM43" s="521">
        <f t="shared" si="20"/>
        <v>30832</v>
      </c>
      <c r="AN43" s="521">
        <f t="shared" si="20"/>
        <v>374407</v>
      </c>
      <c r="AO43" s="521">
        <f t="shared" si="20"/>
        <v>1345299.7</v>
      </c>
      <c r="AP43" s="521">
        <f t="shared" si="20"/>
        <v>1719706.7000000002</v>
      </c>
      <c r="AQ43" s="175" t="s">
        <v>601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21"/>
        <v>1594626.02</v>
      </c>
      <c r="AY43" s="508">
        <f t="shared" si="42"/>
        <v>63785.040800000002</v>
      </c>
      <c r="AZ43" s="508">
        <f t="shared" si="46"/>
        <v>26589.661199999988</v>
      </c>
      <c r="BA43" s="508">
        <f>90382.9-8.198</f>
        <v>90374.70199999999</v>
      </c>
      <c r="BB43" s="508">
        <v>4276170.7</v>
      </c>
      <c r="BC43" s="508">
        <f t="shared" si="45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4"/>
        <v>399000.6</v>
      </c>
      <c r="BI43" s="175" t="s">
        <v>601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305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7"/>
        <v>10963</v>
      </c>
      <c r="BU43" s="281">
        <f>AP43/AV43*100</f>
        <v>108.8407482072612</v>
      </c>
      <c r="BV43" s="281">
        <f t="shared" si="48"/>
        <v>144.1230520842835</v>
      </c>
      <c r="BW43" s="281">
        <f t="shared" si="49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7"/>
        <v>3.1199999999999997</v>
      </c>
      <c r="CC43" s="281">
        <v>7.49</v>
      </c>
      <c r="CD43" s="281">
        <v>9.85</v>
      </c>
      <c r="CE43" s="281">
        <f t="shared" si="28"/>
        <v>2.3599999999999994</v>
      </c>
    </row>
    <row r="44" spans="1:83" s="177" customFormat="1" ht="13.5" customHeight="1">
      <c r="A44" s="175"/>
      <c r="B44" s="175"/>
      <c r="C44" s="175"/>
      <c r="D44" s="175"/>
      <c r="E44" s="175"/>
      <c r="F44" s="175"/>
      <c r="G44" s="175"/>
      <c r="H44" s="175"/>
      <c r="I44" s="334" t="s">
        <v>2476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2476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2476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5"/>
      <c r="BE44" s="503"/>
      <c r="BF44" s="503"/>
      <c r="BG44" s="503"/>
      <c r="BH44" s="503"/>
      <c r="BI44" s="334" t="s">
        <v>2475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1.45" customHeight="1">
      <c r="A45" s="175"/>
      <c r="B45" s="175"/>
      <c r="C45" s="175"/>
      <c r="D45" s="175"/>
      <c r="E45" s="175"/>
      <c r="F45" s="175"/>
      <c r="G45" s="175"/>
      <c r="H45" s="175"/>
      <c r="I45" s="278" t="s">
        <v>603</v>
      </c>
      <c r="J45" s="508">
        <v>262931.09999999998</v>
      </c>
      <c r="K45" s="508">
        <v>1672.4</v>
      </c>
      <c r="L45" s="508">
        <f t="shared" si="11"/>
        <v>264603.5</v>
      </c>
      <c r="M45" s="508">
        <v>22577.3</v>
      </c>
      <c r="N45" s="508">
        <f t="shared" si="12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3"/>
        <v>1465268.8</v>
      </c>
      <c r="T45" s="508">
        <f t="shared" si="14"/>
        <v>1570952.2</v>
      </c>
      <c r="U45" s="508">
        <v>635.4</v>
      </c>
      <c r="V45" s="508">
        <v>344931</v>
      </c>
      <c r="W45" s="508">
        <f t="shared" si="15"/>
        <v>422489.9</v>
      </c>
      <c r="X45" s="508">
        <f t="shared" si="16"/>
        <v>1707930.4</v>
      </c>
      <c r="Y45" s="508">
        <v>2098983.5999999996</v>
      </c>
      <c r="Z45" s="278" t="s">
        <v>603</v>
      </c>
      <c r="AA45" s="252">
        <v>0</v>
      </c>
      <c r="AB45" s="508">
        <v>39456.800000000003</v>
      </c>
      <c r="AC45" s="508">
        <v>1286995.8</v>
      </c>
      <c r="AD45" s="508">
        <f t="shared" si="17"/>
        <v>1326452.6000000001</v>
      </c>
      <c r="AE45" s="252">
        <v>0</v>
      </c>
      <c r="AF45" s="508">
        <v>1831.4</v>
      </c>
      <c r="AG45" s="508">
        <v>33092</v>
      </c>
      <c r="AH45" s="508">
        <f t="shared" si="18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9"/>
        <v>356677.6</v>
      </c>
      <c r="AM45" s="521">
        <f t="shared" ref="AM45:AM49" si="51">AA45+AE45+AI45</f>
        <v>31031</v>
      </c>
      <c r="AN45" s="521">
        <f t="shared" ref="AN45" si="52">AB45+AF45+AJ45</f>
        <v>371424.8</v>
      </c>
      <c r="AO45" s="521">
        <f t="shared" ref="AO45:AO49" si="53">AC45+AG45+AK45</f>
        <v>1346628.8</v>
      </c>
      <c r="AP45" s="521">
        <f>AD45+AH45+AL45</f>
        <v>1718053.6</v>
      </c>
      <c r="AQ45" s="278" t="s">
        <v>603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21"/>
        <v>1586687.96</v>
      </c>
      <c r="AY45" s="508">
        <f>0.04*AX45</f>
        <v>63467.518400000001</v>
      </c>
      <c r="AZ45" s="508">
        <f>BA45-AY45</f>
        <v>16218.959700000007</v>
      </c>
      <c r="BA45" s="508">
        <f>79692.1-5.6219</f>
        <v>79686.478100000008</v>
      </c>
      <c r="BB45" s="508">
        <v>4308514.4000000004</v>
      </c>
      <c r="BC45" s="508">
        <f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4"/>
        <v>403768.7</v>
      </c>
      <c r="BI45" s="278" t="s">
        <v>603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305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7"/>
        <v>10963</v>
      </c>
      <c r="BU45" s="281">
        <f>AP45/AV45*100</f>
        <v>109.36189035003474</v>
      </c>
      <c r="BV45" s="281">
        <f t="shared" ref="BV45" si="54">AV45/BT45</f>
        <v>143.29838182979111</v>
      </c>
      <c r="BW45" s="281">
        <f t="shared" ref="BW45:BW49" si="55">AP45/BT45</f>
        <v>156.71381921007026</v>
      </c>
      <c r="BX45" s="281">
        <f t="shared" ref="BX45:BX49" si="56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7"/>
        <v>3.05</v>
      </c>
      <c r="CC45" s="281">
        <v>7.46</v>
      </c>
      <c r="CD45" s="281">
        <v>9.2899999999999991</v>
      </c>
      <c r="CE45" s="281">
        <f t="shared" si="28"/>
        <v>1.8299999999999992</v>
      </c>
    </row>
    <row r="46" spans="1:83" s="177" customFormat="1" ht="11.45" customHeight="1">
      <c r="A46" s="175"/>
      <c r="B46" s="175"/>
      <c r="C46" s="175"/>
      <c r="D46" s="175"/>
      <c r="E46" s="175"/>
      <c r="F46" s="175"/>
      <c r="G46" s="175"/>
      <c r="H46" s="175"/>
      <c r="I46" s="354" t="s">
        <v>604</v>
      </c>
      <c r="J46" s="503">
        <v>261231</v>
      </c>
      <c r="K46" s="503">
        <v>1682</v>
      </c>
      <c r="L46" s="503">
        <f t="shared" si="11"/>
        <v>262913</v>
      </c>
      <c r="M46" s="503">
        <v>21036.7</v>
      </c>
      <c r="N46" s="503">
        <f>L46-M46</f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3"/>
        <v>1468294.3</v>
      </c>
      <c r="T46" s="503">
        <f t="shared" si="14"/>
        <v>1570906.9000000001</v>
      </c>
      <c r="U46" s="503">
        <v>643.5</v>
      </c>
      <c r="V46" s="503">
        <v>341336.5</v>
      </c>
      <c r="W46" s="503">
        <f t="shared" ref="W46:W49" si="57">N46+Q46+U46</f>
        <v>418408.6</v>
      </c>
      <c r="X46" s="503">
        <f t="shared" ref="X46:X49" si="58">R46+W46</f>
        <v>1710814.1</v>
      </c>
      <c r="Y46" s="503">
        <v>2102773</v>
      </c>
      <c r="Z46" s="354" t="s">
        <v>604</v>
      </c>
      <c r="AA46" s="317">
        <v>0</v>
      </c>
      <c r="AB46" s="503">
        <v>42550.3</v>
      </c>
      <c r="AC46" s="503">
        <v>1298346</v>
      </c>
      <c r="AD46" s="503">
        <f t="shared" si="17"/>
        <v>1340896.3</v>
      </c>
      <c r="AE46" s="317">
        <v>0</v>
      </c>
      <c r="AF46" s="503">
        <v>1723.3</v>
      </c>
      <c r="AG46" s="503">
        <v>31292</v>
      </c>
      <c r="AH46" s="503">
        <f t="shared" si="18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9"/>
        <v>349591.4</v>
      </c>
      <c r="AM46" s="506">
        <f t="shared" si="51"/>
        <v>30666.1</v>
      </c>
      <c r="AN46" s="506">
        <f>AB46+AF46+AJ46</f>
        <v>367014.1</v>
      </c>
      <c r="AO46" s="506">
        <f t="shared" si="53"/>
        <v>1356488.9</v>
      </c>
      <c r="AP46" s="506">
        <f>AD46+AH46+AL46</f>
        <v>1723503</v>
      </c>
      <c r="AQ46" s="354" t="s">
        <v>604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>AV46+AW46</f>
        <v>1585980.76</v>
      </c>
      <c r="AY46" s="503">
        <f>0.04*AX46</f>
        <v>63439.2304</v>
      </c>
      <c r="AZ46" s="503">
        <f>BA46-AY46</f>
        <v>14330.464900000006</v>
      </c>
      <c r="BA46" s="503">
        <f>77780-10.3047</f>
        <v>77769.695300000007</v>
      </c>
      <c r="BB46" s="503">
        <v>4347458.0999999996</v>
      </c>
      <c r="BC46" s="503">
        <f>L46+BA46</f>
        <v>340682.69530000002</v>
      </c>
      <c r="BD46" s="945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4"/>
        <v>401176</v>
      </c>
      <c r="BI46" s="354" t="s">
        <v>604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305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7"/>
        <v>10966</v>
      </c>
      <c r="BU46" s="323">
        <f>AP46/AV46*100</f>
        <v>109.71043840520423</v>
      </c>
      <c r="BV46" s="323">
        <f t="shared" ref="BV46:BV47" si="59">AV46/BT46</f>
        <v>143.25699981761809</v>
      </c>
      <c r="BW46" s="323">
        <f t="shared" si="55"/>
        <v>157.16788254605143</v>
      </c>
      <c r="BX46" s="323">
        <f t="shared" si="56"/>
        <v>6.289570105535593</v>
      </c>
      <c r="BY46" s="323">
        <v>4</v>
      </c>
      <c r="BZ46" s="323">
        <v>4.07</v>
      </c>
      <c r="CA46" s="323">
        <v>7.11</v>
      </c>
      <c r="CB46" s="323">
        <f t="shared" si="27"/>
        <v>3.04</v>
      </c>
      <c r="CC46" s="323">
        <v>7.44</v>
      </c>
      <c r="CD46" s="323">
        <v>9.1999999999999993</v>
      </c>
      <c r="CE46" s="323">
        <f t="shared" si="28"/>
        <v>1.7599999999999989</v>
      </c>
    </row>
    <row r="47" spans="1:83" s="177" customFormat="1" ht="11.45" customHeight="1">
      <c r="A47" s="175"/>
      <c r="B47" s="175"/>
      <c r="C47" s="175"/>
      <c r="D47" s="175"/>
      <c r="E47" s="175"/>
      <c r="F47" s="175"/>
      <c r="G47" s="175"/>
      <c r="H47" s="175"/>
      <c r="I47" s="278" t="s">
        <v>598</v>
      </c>
      <c r="J47" s="508">
        <v>259946.1</v>
      </c>
      <c r="K47" s="508">
        <v>1690.6</v>
      </c>
      <c r="L47" s="508">
        <f t="shared" si="11"/>
        <v>261636.7</v>
      </c>
      <c r="M47" s="508">
        <v>21638.5</v>
      </c>
      <c r="N47" s="508">
        <f>L47-M47</f>
        <v>239998.2</v>
      </c>
      <c r="O47" s="508">
        <v>34713.9</v>
      </c>
      <c r="P47" s="508">
        <v>102039.5</v>
      </c>
      <c r="Q47" s="508">
        <v>177798.3</v>
      </c>
      <c r="R47" s="508">
        <v>1304378.7</v>
      </c>
      <c r="S47" s="508">
        <f t="shared" si="13"/>
        <v>1482177</v>
      </c>
      <c r="T47" s="508">
        <f t="shared" si="14"/>
        <v>1584216.5</v>
      </c>
      <c r="U47" s="508">
        <v>652.30000000000007</v>
      </c>
      <c r="V47" s="508">
        <v>340080.39999999997</v>
      </c>
      <c r="W47" s="508">
        <f t="shared" si="57"/>
        <v>418448.8</v>
      </c>
      <c r="X47" s="508">
        <f t="shared" si="58"/>
        <v>1722827.5</v>
      </c>
      <c r="Y47" s="508">
        <v>2114833.2000000002</v>
      </c>
      <c r="Z47" s="278" t="s">
        <v>598</v>
      </c>
      <c r="AA47" s="252">
        <v>0</v>
      </c>
      <c r="AB47" s="508">
        <v>40984.400000000001</v>
      </c>
      <c r="AC47" s="508">
        <v>1315814.3999999999</v>
      </c>
      <c r="AD47" s="508">
        <f t="shared" si="17"/>
        <v>1356798.7999999998</v>
      </c>
      <c r="AE47" s="252">
        <v>0</v>
      </c>
      <c r="AF47" s="508">
        <v>1599</v>
      </c>
      <c r="AG47" s="508">
        <v>30782</v>
      </c>
      <c r="AH47" s="508">
        <f t="shared" si="18"/>
        <v>32381</v>
      </c>
      <c r="AI47" s="521">
        <v>31087.4</v>
      </c>
      <c r="AJ47" s="521">
        <v>318335.3</v>
      </c>
      <c r="AK47" s="521">
        <v>26797.9</v>
      </c>
      <c r="AL47" s="521">
        <f t="shared" si="19"/>
        <v>345133.2</v>
      </c>
      <c r="AM47" s="521">
        <f t="shared" si="51"/>
        <v>31087.4</v>
      </c>
      <c r="AN47" s="521">
        <f>AB47+AF47+AJ47</f>
        <v>360918.7</v>
      </c>
      <c r="AO47" s="521">
        <f t="shared" si="53"/>
        <v>1373394.2999999998</v>
      </c>
      <c r="AP47" s="521">
        <f>AD47+AH47+AL47</f>
        <v>1734312.9999999998</v>
      </c>
      <c r="AQ47" s="278" t="s">
        <v>598</v>
      </c>
      <c r="AR47" s="508">
        <v>7316.3</v>
      </c>
      <c r="AS47" s="508">
        <v>99274.6</v>
      </c>
      <c r="AT47" s="508">
        <v>41852.5</v>
      </c>
      <c r="AU47" s="508">
        <v>765.1</v>
      </c>
      <c r="AV47" s="508">
        <f>1584272.1-9.77</f>
        <v>1584262.33</v>
      </c>
      <c r="AW47" s="508">
        <v>15315.6</v>
      </c>
      <c r="AX47" s="508">
        <f t="shared" si="21"/>
        <v>1599577.9300000002</v>
      </c>
      <c r="AY47" s="508">
        <f t="shared" ref="AY47:AY49" si="60">0.04*AX47</f>
        <v>63983.117200000008</v>
      </c>
      <c r="AZ47" s="508">
        <f>BA47-AY47</f>
        <v>13802.04339999998</v>
      </c>
      <c r="BA47" s="508">
        <f>77791.4-6.2394</f>
        <v>77785.160599999988</v>
      </c>
      <c r="BB47" s="508">
        <v>4399584.0999999996</v>
      </c>
      <c r="BC47" s="508">
        <f>L47+BA47</f>
        <v>339421.86060000001</v>
      </c>
      <c r="BD47" s="255">
        <v>4787.5</v>
      </c>
      <c r="BE47" s="508">
        <v>70650.399999999994</v>
      </c>
      <c r="BF47" s="508">
        <v>12590.9</v>
      </c>
      <c r="BG47" s="508">
        <v>313793.09999999998</v>
      </c>
      <c r="BH47" s="508">
        <f t="shared" si="24"/>
        <v>401821.9</v>
      </c>
      <c r="BI47" s="278" t="s">
        <v>598</v>
      </c>
      <c r="BJ47" s="606">
        <v>3.24</v>
      </c>
      <c r="BK47" s="281">
        <v>2.6</v>
      </c>
      <c r="BL47" s="281">
        <v>2.09</v>
      </c>
      <c r="BM47" s="281">
        <v>2.29</v>
      </c>
      <c r="BN47" s="281">
        <v>0.86</v>
      </c>
      <c r="BO47" s="281" t="s">
        <v>305</v>
      </c>
      <c r="BP47" s="422">
        <v>3812</v>
      </c>
      <c r="BQ47" s="422">
        <v>1519</v>
      </c>
      <c r="BR47" s="422">
        <v>5580</v>
      </c>
      <c r="BS47" s="422">
        <v>63</v>
      </c>
      <c r="BT47" s="422">
        <f t="shared" si="37"/>
        <v>10974</v>
      </c>
      <c r="BU47" s="281">
        <f>AP47/AV47*100</f>
        <v>109.47132726434263</v>
      </c>
      <c r="BV47" s="281">
        <f t="shared" si="59"/>
        <v>144.36507472207035</v>
      </c>
      <c r="BW47" s="281">
        <f t="shared" si="55"/>
        <v>158.0383634044104</v>
      </c>
      <c r="BX47" s="281">
        <f t="shared" si="56"/>
        <v>6.2757069152808791</v>
      </c>
      <c r="BY47" s="281">
        <v>4</v>
      </c>
      <c r="BZ47" s="281">
        <v>4.09</v>
      </c>
      <c r="CA47" s="281">
        <v>7.12</v>
      </c>
      <c r="CB47" s="281">
        <f t="shared" si="27"/>
        <v>3.0300000000000002</v>
      </c>
      <c r="CC47" s="281">
        <v>7.48</v>
      </c>
      <c r="CD47" s="281">
        <v>9.11</v>
      </c>
      <c r="CE47" s="281">
        <f t="shared" si="28"/>
        <v>1.629999999999999</v>
      </c>
    </row>
    <row r="48" spans="1:83" s="177" customFormat="1" ht="11.45" customHeight="1">
      <c r="A48" s="175"/>
      <c r="B48" s="175"/>
      <c r="C48" s="175"/>
      <c r="D48" s="175"/>
      <c r="E48" s="175"/>
      <c r="F48" s="175"/>
      <c r="G48" s="175"/>
      <c r="H48" s="175"/>
      <c r="I48" s="354" t="s">
        <v>605</v>
      </c>
      <c r="J48" s="503">
        <v>256374.7</v>
      </c>
      <c r="K48" s="503">
        <v>1698.5</v>
      </c>
      <c r="L48" s="503">
        <f t="shared" si="11"/>
        <v>258073.2</v>
      </c>
      <c r="M48" s="503">
        <v>21959</v>
      </c>
      <c r="N48" s="503">
        <f>L48-M48</f>
        <v>236114.2</v>
      </c>
      <c r="O48" s="503">
        <v>34367.4</v>
      </c>
      <c r="P48" s="503">
        <v>101890.5</v>
      </c>
      <c r="Q48" s="503">
        <v>178312.1</v>
      </c>
      <c r="R48" s="503">
        <v>1311731.2</v>
      </c>
      <c r="S48" s="503">
        <f t="shared" si="13"/>
        <v>1490043.3</v>
      </c>
      <c r="T48" s="503">
        <f t="shared" si="14"/>
        <v>1591933.8</v>
      </c>
      <c r="U48" s="503">
        <v>611.70000000000005</v>
      </c>
      <c r="V48" s="503">
        <v>335476.60000000003</v>
      </c>
      <c r="W48" s="503">
        <f t="shared" si="57"/>
        <v>415038.00000000006</v>
      </c>
      <c r="X48" s="503">
        <f t="shared" si="58"/>
        <v>1726769.2</v>
      </c>
      <c r="Y48" s="503">
        <v>2114814.7000000002</v>
      </c>
      <c r="Z48" s="354" t="s">
        <v>605</v>
      </c>
      <c r="AA48" s="317">
        <v>0</v>
      </c>
      <c r="AB48" s="503">
        <v>42682.5</v>
      </c>
      <c r="AC48" s="503">
        <v>1324983.7</v>
      </c>
      <c r="AD48" s="503">
        <f t="shared" si="17"/>
        <v>1367666.2</v>
      </c>
      <c r="AE48" s="317">
        <v>0</v>
      </c>
      <c r="AF48" s="503">
        <v>1514.1</v>
      </c>
      <c r="AG48" s="503">
        <v>31165.1</v>
      </c>
      <c r="AH48" s="503">
        <f t="shared" si="18"/>
        <v>32679.199999999997</v>
      </c>
      <c r="AI48" s="506">
        <v>30824.5</v>
      </c>
      <c r="AJ48" s="506">
        <v>318336.8</v>
      </c>
      <c r="AK48" s="506">
        <v>26851.8</v>
      </c>
      <c r="AL48" s="506">
        <f t="shared" si="19"/>
        <v>345188.6</v>
      </c>
      <c r="AM48" s="506">
        <f t="shared" si="51"/>
        <v>30824.5</v>
      </c>
      <c r="AN48" s="506">
        <f>AB48+AF48+AJ48</f>
        <v>362533.39999999997</v>
      </c>
      <c r="AO48" s="506">
        <f t="shared" si="53"/>
        <v>1383000.6</v>
      </c>
      <c r="AP48" s="506">
        <f>AD48+AH48+AL48</f>
        <v>1745534</v>
      </c>
      <c r="AQ48" s="354" t="s">
        <v>605</v>
      </c>
      <c r="AR48" s="503">
        <v>7453.9</v>
      </c>
      <c r="AS48" s="503">
        <v>99403</v>
      </c>
      <c r="AT48" s="503">
        <v>41086.699999999997</v>
      </c>
      <c r="AU48" s="503">
        <v>771.3</v>
      </c>
      <c r="AV48" s="503">
        <f>1591989.8-9.9</f>
        <v>1591979.9000000001</v>
      </c>
      <c r="AW48" s="503">
        <v>15989.6</v>
      </c>
      <c r="AX48" s="503">
        <f t="shared" si="21"/>
        <v>1607969.5000000002</v>
      </c>
      <c r="AY48" s="503">
        <f>0.04*AX48</f>
        <v>64318.780000000013</v>
      </c>
      <c r="AZ48" s="503">
        <f>BA48-AY48</f>
        <v>12464.832899999979</v>
      </c>
      <c r="BA48" s="503">
        <f>76791.7-8.0871</f>
        <v>76783.612899999993</v>
      </c>
      <c r="BB48" s="503">
        <v>4440076.2</v>
      </c>
      <c r="BC48" s="503">
        <f>L48+BA48</f>
        <v>334856.81290000002</v>
      </c>
      <c r="BD48" s="945">
        <v>10126.799999999999</v>
      </c>
      <c r="BE48" s="503">
        <v>75928.399999999994</v>
      </c>
      <c r="BF48" s="503">
        <v>13571.7</v>
      </c>
      <c r="BG48" s="503">
        <v>313801.2</v>
      </c>
      <c r="BH48" s="503">
        <f t="shared" si="24"/>
        <v>413428.10000000003</v>
      </c>
      <c r="BI48" s="354" t="s">
        <v>605</v>
      </c>
      <c r="BJ48" s="487">
        <v>7.71</v>
      </c>
      <c r="BK48" s="323">
        <v>4.28</v>
      </c>
      <c r="BL48" s="323">
        <v>2.81</v>
      </c>
      <c r="BM48" s="323">
        <v>3.67</v>
      </c>
      <c r="BN48" s="323">
        <v>1.0900000000000001</v>
      </c>
      <c r="BO48" s="323" t="s">
        <v>305</v>
      </c>
      <c r="BP48" s="324">
        <v>3812</v>
      </c>
      <c r="BQ48" s="324">
        <v>1519</v>
      </c>
      <c r="BR48" s="324">
        <v>5603</v>
      </c>
      <c r="BS48" s="324">
        <v>63</v>
      </c>
      <c r="BT48" s="324">
        <f t="shared" si="37"/>
        <v>10997</v>
      </c>
      <c r="BU48" s="323">
        <f>AP48/AV48*100</f>
        <v>109.64547982044243</v>
      </c>
      <c r="BV48" s="323">
        <f>AV48/BT48</f>
        <v>144.76492679821772</v>
      </c>
      <c r="BW48" s="323">
        <f t="shared" si="55"/>
        <v>158.72819859961808</v>
      </c>
      <c r="BX48" s="323">
        <f t="shared" si="56"/>
        <v>6.2025037439228967</v>
      </c>
      <c r="BY48" s="323">
        <v>4</v>
      </c>
      <c r="BZ48" s="323">
        <v>4.13</v>
      </c>
      <c r="CA48" s="323">
        <v>7.15</v>
      </c>
      <c r="CB48" s="323">
        <f t="shared" si="27"/>
        <v>3.0200000000000005</v>
      </c>
      <c r="CC48" s="323">
        <v>7.49</v>
      </c>
      <c r="CD48" s="323">
        <v>9.08</v>
      </c>
      <c r="CE48" s="323">
        <f t="shared" si="28"/>
        <v>1.5899999999999999</v>
      </c>
    </row>
    <row r="49" spans="1:83" s="177" customFormat="1" ht="11.45" customHeight="1" thickBot="1">
      <c r="A49" s="175"/>
      <c r="B49" s="175"/>
      <c r="C49" s="175"/>
      <c r="D49" s="175"/>
      <c r="E49" s="175"/>
      <c r="F49" s="175"/>
      <c r="G49" s="175"/>
      <c r="H49" s="175"/>
      <c r="I49" s="551" t="s">
        <v>606</v>
      </c>
      <c r="J49" s="1649">
        <v>272891.59999999998</v>
      </c>
      <c r="K49" s="1649">
        <v>1707.9</v>
      </c>
      <c r="L49" s="1649">
        <f t="shared" si="11"/>
        <v>274599.5</v>
      </c>
      <c r="M49" s="1649">
        <v>21617.5</v>
      </c>
      <c r="N49" s="1649">
        <f>L49-M49</f>
        <v>252982</v>
      </c>
      <c r="O49" s="1649">
        <v>32525.1</v>
      </c>
      <c r="P49" s="1649">
        <v>103586</v>
      </c>
      <c r="Q49" s="1649">
        <v>179578</v>
      </c>
      <c r="R49" s="1649">
        <v>1307310.1000000001</v>
      </c>
      <c r="S49" s="1649">
        <f t="shared" si="13"/>
        <v>1486888.1</v>
      </c>
      <c r="T49" s="1649">
        <f t="shared" si="14"/>
        <v>1590474.1</v>
      </c>
      <c r="U49" s="1649">
        <v>602.29999999999995</v>
      </c>
      <c r="V49" s="1649">
        <v>346365.80000000005</v>
      </c>
      <c r="W49" s="1649">
        <f t="shared" si="57"/>
        <v>433162.3</v>
      </c>
      <c r="X49" s="1649">
        <f t="shared" si="58"/>
        <v>1740472.4000000001</v>
      </c>
      <c r="Y49" s="1649">
        <v>2127921</v>
      </c>
      <c r="Z49" s="551" t="s">
        <v>606</v>
      </c>
      <c r="AA49" s="692">
        <v>0</v>
      </c>
      <c r="AB49" s="1649">
        <v>43316.6</v>
      </c>
      <c r="AC49" s="1649">
        <v>1342392.8</v>
      </c>
      <c r="AD49" s="1649">
        <f t="shared" si="17"/>
        <v>1385709.4000000001</v>
      </c>
      <c r="AE49" s="692">
        <v>0</v>
      </c>
      <c r="AF49" s="1649">
        <v>1458.7</v>
      </c>
      <c r="AG49" s="1649">
        <v>31098.6</v>
      </c>
      <c r="AH49" s="1649">
        <f t="shared" si="18"/>
        <v>32557.3</v>
      </c>
      <c r="AI49" s="1665">
        <v>31305.7</v>
      </c>
      <c r="AJ49" s="1665">
        <v>309011.09999999998</v>
      </c>
      <c r="AK49" s="1665">
        <v>26945.9</v>
      </c>
      <c r="AL49" s="1665">
        <f t="shared" si="19"/>
        <v>335957</v>
      </c>
      <c r="AM49" s="1665">
        <f t="shared" si="51"/>
        <v>31305.7</v>
      </c>
      <c r="AN49" s="1665">
        <f>AB49+AF49+AJ49</f>
        <v>353786.39999999997</v>
      </c>
      <c r="AO49" s="1665">
        <f t="shared" si="53"/>
        <v>1400437.3</v>
      </c>
      <c r="AP49" s="1665">
        <f>AD49+AH49+AL49</f>
        <v>1754223.7000000002</v>
      </c>
      <c r="AQ49" s="551" t="s">
        <v>606</v>
      </c>
      <c r="AR49" s="1649">
        <v>10373</v>
      </c>
      <c r="AS49" s="1649">
        <v>100332</v>
      </c>
      <c r="AT49" s="1649">
        <v>39698.6</v>
      </c>
      <c r="AU49" s="1649">
        <v>961</v>
      </c>
      <c r="AV49" s="1649">
        <f>1590530.9-10.14</f>
        <v>1590520.76</v>
      </c>
      <c r="AW49" s="1649">
        <v>15986.7</v>
      </c>
      <c r="AX49" s="1649">
        <f>AV49+AW49</f>
        <v>1606507.46</v>
      </c>
      <c r="AY49" s="1649">
        <f>0.04*AX49</f>
        <v>64260.2984</v>
      </c>
      <c r="AZ49" s="1649">
        <f>BA49-AY49</f>
        <v>6899.2599000000046</v>
      </c>
      <c r="BA49" s="1649">
        <f>71164-4.4417</f>
        <v>71159.558300000004</v>
      </c>
      <c r="BB49" s="1649">
        <v>4464599.5999999996</v>
      </c>
      <c r="BC49" s="1649">
        <f>L49+BA49</f>
        <v>345759.05830000003</v>
      </c>
      <c r="BD49" s="1666">
        <v>10126.799999999999</v>
      </c>
      <c r="BE49" s="1649">
        <v>80564.800000000003</v>
      </c>
      <c r="BF49" s="1649">
        <v>13510.5</v>
      </c>
      <c r="BG49" s="1649">
        <v>304487.8</v>
      </c>
      <c r="BH49" s="1649">
        <f t="shared" si="24"/>
        <v>408689.89999999997</v>
      </c>
      <c r="BI49" s="551" t="s">
        <v>606</v>
      </c>
      <c r="BJ49" s="1647">
        <v>5.62</v>
      </c>
      <c r="BK49" s="786">
        <v>5.99</v>
      </c>
      <c r="BL49" s="786">
        <v>4.1100000000000003</v>
      </c>
      <c r="BM49" s="786">
        <v>4.4000000000000004</v>
      </c>
      <c r="BN49" s="786">
        <v>1.89</v>
      </c>
      <c r="BO49" s="786" t="s">
        <v>305</v>
      </c>
      <c r="BP49" s="1497">
        <v>3812</v>
      </c>
      <c r="BQ49" s="1497">
        <v>1519</v>
      </c>
      <c r="BR49" s="1497">
        <v>5631</v>
      </c>
      <c r="BS49" s="1497">
        <v>63</v>
      </c>
      <c r="BT49" s="1497">
        <f t="shared" si="37"/>
        <v>11025</v>
      </c>
      <c r="BU49" s="786">
        <f>AP49/AV49*100</f>
        <v>110.29241139864155</v>
      </c>
      <c r="BV49" s="786">
        <f>AV49/BT49</f>
        <v>144.26492154195012</v>
      </c>
      <c r="BW49" s="786">
        <f t="shared" si="55"/>
        <v>159.11326077097507</v>
      </c>
      <c r="BX49" s="786">
        <f t="shared" si="56"/>
        <v>5.8331246364869829</v>
      </c>
      <c r="BY49" s="786">
        <v>4</v>
      </c>
      <c r="BZ49" s="786">
        <v>4.22</v>
      </c>
      <c r="CA49" s="786">
        <v>7.18</v>
      </c>
      <c r="CB49" s="786">
        <f t="shared" si="27"/>
        <v>2.96</v>
      </c>
      <c r="CC49" s="786">
        <v>7.49</v>
      </c>
      <c r="CD49" s="786">
        <v>9.11</v>
      </c>
      <c r="CE49" s="786">
        <f t="shared" si="28"/>
        <v>1.6199999999999992</v>
      </c>
    </row>
    <row r="50" spans="1:83" s="9" customFormat="1" ht="11.25" customHeight="1">
      <c r="I50" s="491" t="s">
        <v>1507</v>
      </c>
      <c r="J50" s="1784" t="s">
        <v>1579</v>
      </c>
      <c r="K50" s="1784"/>
      <c r="L50" s="1784"/>
      <c r="M50" s="1784"/>
      <c r="N50" s="1784"/>
      <c r="O50" s="1784"/>
      <c r="P50" s="1784"/>
      <c r="Q50" s="1784"/>
      <c r="R50" s="1083" t="s">
        <v>1511</v>
      </c>
      <c r="S50" s="1783" t="s">
        <v>193</v>
      </c>
      <c r="T50" s="1783"/>
      <c r="U50" s="1783"/>
      <c r="V50" s="1783"/>
      <c r="W50" s="1783"/>
      <c r="X50" s="1783"/>
      <c r="Y50" s="1783"/>
      <c r="Z50" s="493" t="s">
        <v>30</v>
      </c>
      <c r="AA50" s="1842" t="s">
        <v>2098</v>
      </c>
      <c r="AB50" s="1842"/>
      <c r="AC50" s="1842"/>
      <c r="AD50" s="1842"/>
      <c r="AE50" s="1842"/>
      <c r="AF50" s="1842"/>
      <c r="AG50" s="1842"/>
      <c r="AH50" s="1842"/>
      <c r="AI50" s="494" t="s">
        <v>1512</v>
      </c>
      <c r="AJ50" s="1785" t="s">
        <v>1341</v>
      </c>
      <c r="AK50" s="1785"/>
      <c r="AL50" s="1785"/>
      <c r="AM50" s="1785"/>
      <c r="AN50" s="1785"/>
      <c r="AO50" s="1785"/>
      <c r="AP50" s="1785"/>
      <c r="AQ50" s="495"/>
      <c r="AR50" s="496"/>
      <c r="AS50" s="496"/>
      <c r="AT50" s="496"/>
      <c r="AU50" s="496"/>
      <c r="AV50" s="496"/>
      <c r="AW50" s="496"/>
      <c r="AX50" s="252"/>
      <c r="AY50" s="497" t="s">
        <v>192</v>
      </c>
      <c r="AZ50" s="492" t="s">
        <v>1474</v>
      </c>
      <c r="BA50" s="490"/>
      <c r="BB50" s="490"/>
      <c r="BC50" s="490"/>
      <c r="BD50" s="490"/>
      <c r="BE50" s="490"/>
      <c r="BF50" s="490"/>
      <c r="BG50" s="490"/>
      <c r="BH50" s="490"/>
      <c r="BI50" s="498"/>
      <c r="BJ50" s="1784"/>
      <c r="BK50" s="1784"/>
      <c r="BL50" s="1784"/>
      <c r="BM50" s="1784"/>
      <c r="BN50" s="1784"/>
      <c r="BO50" s="1784"/>
      <c r="BP50" s="1784"/>
      <c r="BQ50" s="1784"/>
      <c r="BR50" s="1784"/>
      <c r="BS50" s="1784"/>
      <c r="BT50" s="490"/>
      <c r="BU50" s="491" t="s">
        <v>1102</v>
      </c>
      <c r="BV50" s="492" t="s">
        <v>1103</v>
      </c>
      <c r="BW50" s="492"/>
      <c r="BX50" s="492"/>
      <c r="BY50" s="492"/>
      <c r="BZ50" s="492"/>
      <c r="CA50" s="492"/>
      <c r="CB50" s="492"/>
      <c r="CC50" s="490"/>
      <c r="CD50" s="490"/>
      <c r="CE50" s="490"/>
    </row>
    <row r="51" spans="1:83" s="9" customFormat="1" ht="9" customHeight="1">
      <c r="I51" s="499"/>
      <c r="J51" s="1782" t="s">
        <v>2585</v>
      </c>
      <c r="K51" s="1782"/>
      <c r="L51" s="1782"/>
      <c r="M51" s="1782"/>
      <c r="N51" s="1782"/>
      <c r="O51" s="1782"/>
      <c r="P51" s="1782"/>
      <c r="Q51" s="1782"/>
      <c r="R51" s="499"/>
      <c r="S51" s="1783" t="s">
        <v>1313</v>
      </c>
      <c r="T51" s="1783"/>
      <c r="U51" s="499"/>
      <c r="V51" s="1061"/>
      <c r="W51" s="1061"/>
      <c r="X51" s="1061"/>
      <c r="Y51" s="1061"/>
      <c r="Z51" s="1275"/>
      <c r="AA51" s="706"/>
      <c r="AB51" s="706"/>
      <c r="AC51" s="706"/>
      <c r="AD51" s="706"/>
      <c r="AE51" s="706"/>
      <c r="AF51" s="706"/>
      <c r="AG51" s="706"/>
      <c r="AH51" s="706"/>
      <c r="AI51" s="492"/>
      <c r="AJ51" s="1843" t="s">
        <v>1359</v>
      </c>
      <c r="AK51" s="1843"/>
      <c r="AL51" s="1843"/>
      <c r="AM51" s="1843"/>
      <c r="AN51" s="1843"/>
      <c r="AO51" s="1843"/>
      <c r="AP51" s="1843"/>
      <c r="AQ51" s="500"/>
      <c r="AR51" s="1084"/>
      <c r="AS51" s="496"/>
      <c r="AT51" s="496"/>
      <c r="AU51" s="496"/>
      <c r="AV51" s="500"/>
      <c r="AW51" s="508"/>
      <c r="AX51" s="508"/>
      <c r="AY51" s="499"/>
      <c r="AZ51" s="1783" t="s">
        <v>1714</v>
      </c>
      <c r="BA51" s="1783"/>
      <c r="BB51" s="1783"/>
      <c r="BC51" s="1783"/>
      <c r="BD51" s="1783"/>
      <c r="BE51" s="1783"/>
      <c r="BF51" s="1783"/>
      <c r="BG51" s="1783"/>
      <c r="BH51" s="1783"/>
      <c r="BI51" s="499"/>
      <c r="BJ51" s="492"/>
      <c r="BK51" s="492"/>
      <c r="BL51" s="492"/>
      <c r="BM51" s="492"/>
      <c r="BN51" s="492"/>
      <c r="BO51" s="492"/>
      <c r="BP51" s="492"/>
      <c r="BQ51" s="492"/>
      <c r="BR51" s="492"/>
      <c r="BS51" s="492"/>
      <c r="BT51" s="499"/>
      <c r="BU51" s="499"/>
      <c r="BV51" s="499" t="s">
        <v>1441</v>
      </c>
      <c r="BW51" s="496"/>
      <c r="BX51" s="496"/>
      <c r="BY51" s="496"/>
      <c r="BZ51" s="496"/>
      <c r="CA51" s="496"/>
      <c r="CB51" s="499"/>
      <c r="CC51" s="40"/>
      <c r="CD51" s="499"/>
      <c r="CE51" s="499"/>
    </row>
    <row r="52" spans="1:83" s="9" customFormat="1" ht="9" customHeight="1">
      <c r="I52" s="490"/>
      <c r="J52" s="1783" t="s">
        <v>1439</v>
      </c>
      <c r="K52" s="1783"/>
      <c r="L52" s="1783"/>
      <c r="M52" s="1783"/>
      <c r="N52" s="1783"/>
      <c r="O52" s="1783"/>
      <c r="P52" s="1783"/>
      <c r="Q52" s="1783"/>
      <c r="R52" s="1084"/>
      <c r="S52" s="1084"/>
      <c r="T52" s="1084"/>
      <c r="U52" s="1084"/>
      <c r="V52" s="1630"/>
      <c r="W52" s="1061"/>
      <c r="X52" s="1061"/>
      <c r="Y52" s="1061"/>
      <c r="Z52" s="1275"/>
      <c r="AA52" s="1844"/>
      <c r="AB52" s="1844"/>
      <c r="AC52" s="1844"/>
      <c r="AD52" s="1844"/>
      <c r="AE52" s="1844"/>
      <c r="AF52" s="1844"/>
      <c r="AG52" s="1844"/>
      <c r="AH52" s="1844"/>
      <c r="AI52" s="496"/>
      <c r="AJ52" s="521"/>
      <c r="AK52" s="521"/>
      <c r="AL52" s="496"/>
      <c r="AM52" s="496"/>
      <c r="AN52" s="496"/>
      <c r="AO52" s="496"/>
      <c r="AP52" s="500"/>
      <c r="AQ52" s="500"/>
      <c r="AR52" s="496"/>
      <c r="AS52" s="496"/>
      <c r="AT52" s="496"/>
      <c r="AU52" s="496"/>
      <c r="AV52" s="500"/>
      <c r="AW52" s="496"/>
      <c r="AX52" s="496"/>
      <c r="AY52" s="501"/>
      <c r="AZ52" s="1783" t="s">
        <v>1473</v>
      </c>
      <c r="BA52" s="1783"/>
      <c r="BB52" s="1783"/>
      <c r="BC52" s="1783"/>
      <c r="BD52" s="1783"/>
      <c r="BE52" s="1783"/>
      <c r="BF52" s="1783"/>
      <c r="BG52" s="1783"/>
      <c r="BH52" s="1783"/>
      <c r="BI52" s="499"/>
      <c r="BJ52" s="499"/>
      <c r="BK52" s="499"/>
      <c r="BL52" s="499"/>
      <c r="BM52" s="499"/>
      <c r="BN52" s="499"/>
      <c r="BO52" s="499"/>
      <c r="BP52" s="499"/>
      <c r="BQ52" s="499"/>
      <c r="BR52" s="499"/>
      <c r="BS52" s="68"/>
      <c r="BT52" s="496"/>
      <c r="BU52" s="499"/>
      <c r="BV52" s="540" t="s">
        <v>2209</v>
      </c>
      <c r="BW52" s="540"/>
      <c r="BX52" s="496"/>
      <c r="BY52" s="496"/>
      <c r="BZ52" s="496"/>
      <c r="CA52" s="496"/>
      <c r="CB52" s="499"/>
      <c r="CC52" s="499"/>
      <c r="CD52" s="499"/>
      <c r="CE52" s="499"/>
    </row>
    <row r="53" spans="1:83" s="9" customFormat="1" ht="9" customHeight="1">
      <c r="I53" s="491" t="s">
        <v>1506</v>
      </c>
      <c r="J53" s="492" t="s">
        <v>1362</v>
      </c>
      <c r="K53" s="492"/>
      <c r="L53" s="492"/>
      <c r="M53" s="490"/>
      <c r="N53" s="490"/>
      <c r="O53" s="490"/>
      <c r="P53" s="44" t="s">
        <v>1465</v>
      </c>
      <c r="Q53" s="948"/>
      <c r="R53" s="948"/>
      <c r="S53" s="1271"/>
      <c r="T53" s="490"/>
      <c r="U53" s="499"/>
      <c r="V53" s="1061"/>
      <c r="W53" s="1061"/>
      <c r="X53" s="1061"/>
      <c r="Y53" s="1061"/>
      <c r="Z53" s="1275"/>
      <c r="AA53" s="1084"/>
      <c r="AB53" s="501"/>
      <c r="AC53" s="499"/>
      <c r="AD53" s="499"/>
      <c r="AE53" s="499"/>
      <c r="AF53" s="499"/>
      <c r="AG53" s="499"/>
      <c r="AH53" s="499"/>
      <c r="AI53" s="499"/>
      <c r="AJ53" s="521"/>
      <c r="AK53" s="521"/>
      <c r="AL53" s="499"/>
      <c r="AM53" s="499"/>
      <c r="AN53" s="499"/>
      <c r="AO53" s="499"/>
      <c r="AP53" s="499"/>
      <c r="AQ53" s="499"/>
      <c r="AR53" s="499"/>
      <c r="AS53" s="499"/>
      <c r="AT53" s="499"/>
      <c r="AU53" s="499"/>
      <c r="AV53" s="1061"/>
      <c r="AW53" s="499"/>
      <c r="AX53" s="1061"/>
      <c r="AY53" s="499"/>
      <c r="AZ53" s="1842" t="s">
        <v>1766</v>
      </c>
      <c r="BA53" s="1842"/>
      <c r="BB53" s="1842"/>
      <c r="BC53" s="1842"/>
      <c r="BD53" s="1842"/>
      <c r="BE53" s="1842"/>
      <c r="BF53" s="1842"/>
      <c r="BG53" s="1842"/>
      <c r="BH53" s="1842"/>
      <c r="BI53" s="499"/>
      <c r="BJ53" s="501"/>
      <c r="BK53" s="501"/>
      <c r="BL53" s="499"/>
      <c r="BM53" s="499"/>
      <c r="BN53" s="499"/>
      <c r="BO53" s="499"/>
      <c r="BP53" s="499"/>
      <c r="BQ53" s="499"/>
      <c r="BR53" s="499"/>
      <c r="BS53" s="68"/>
      <c r="BT53" s="499"/>
      <c r="BU53" s="491" t="s">
        <v>16</v>
      </c>
      <c r="BV53" s="501" t="s">
        <v>1362</v>
      </c>
      <c r="BW53" s="8"/>
      <c r="BX53" s="8"/>
      <c r="BY53" s="499"/>
      <c r="BZ53" s="499"/>
      <c r="CA53" s="499"/>
      <c r="CB53" s="499"/>
      <c r="CC53" s="499"/>
      <c r="CD53" s="499"/>
      <c r="CE53" s="499"/>
    </row>
    <row r="54" spans="1:8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V54" s="41"/>
      <c r="W54" s="1061"/>
      <c r="X54" s="1061"/>
      <c r="Y54" s="1061"/>
      <c r="Z54" s="1275"/>
      <c r="AB54" s="252"/>
      <c r="AX54" s="41"/>
      <c r="AY54" s="9"/>
      <c r="AZ54" s="9"/>
      <c r="BA54" s="9"/>
      <c r="BB54" s="9"/>
      <c r="BC54" s="9"/>
      <c r="BD54" s="9"/>
      <c r="BE54" s="9"/>
      <c r="BF54" s="9"/>
      <c r="BG54" s="44" t="s">
        <v>2380</v>
      </c>
      <c r="BH54" s="9"/>
      <c r="BV54" s="9"/>
      <c r="BW54" s="9"/>
      <c r="BX54" s="9"/>
      <c r="BY54" s="9"/>
    </row>
    <row r="55" spans="1:83" ht="12.75">
      <c r="A55" s="9"/>
      <c r="B55" s="9"/>
      <c r="C55" s="9"/>
      <c r="D55" s="9"/>
      <c r="E55" s="9"/>
      <c r="F55" s="9"/>
      <c r="G55" s="9"/>
      <c r="H55" s="9"/>
      <c r="I55" s="175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08"/>
      <c r="U55" s="508"/>
      <c r="V55" s="41"/>
      <c r="W55" s="1061"/>
      <c r="X55" s="1061"/>
      <c r="Y55" s="1061"/>
      <c r="Z55" s="1275"/>
      <c r="AA55" s="252"/>
      <c r="AB55" s="508"/>
      <c r="AC55" s="606"/>
      <c r="AD55" s="252"/>
      <c r="AE55" s="252"/>
      <c r="AF55" s="508"/>
      <c r="AG55" s="508"/>
      <c r="AH55" s="252"/>
      <c r="AI55" s="521"/>
      <c r="AJ55" s="521"/>
      <c r="AK55" s="521"/>
      <c r="AL55" s="488"/>
      <c r="AM55" s="252"/>
      <c r="AN55" s="252"/>
      <c r="AO55" s="252"/>
      <c r="AP55" s="252"/>
      <c r="AQ55" s="175"/>
      <c r="AR55" s="508"/>
      <c r="AS55" s="508"/>
      <c r="AT55" s="508"/>
      <c r="AU55" s="508"/>
      <c r="AV55" s="508"/>
      <c r="AW55" s="508"/>
      <c r="AX55" s="252"/>
      <c r="AY55" s="252"/>
      <c r="AZ55" s="252"/>
      <c r="BA55" s="508"/>
      <c r="BB55" s="508"/>
      <c r="BC55" s="251"/>
      <c r="BD55" s="508"/>
      <c r="BE55" s="508"/>
      <c r="BF55" s="508"/>
      <c r="BG55" s="508"/>
      <c r="BH55" s="252"/>
      <c r="BI55" s="175"/>
      <c r="BJ55" s="281"/>
      <c r="BK55" s="281"/>
      <c r="BL55" s="281"/>
      <c r="BM55" s="281"/>
      <c r="BN55" s="281"/>
      <c r="BO55" s="281"/>
      <c r="BP55" s="281"/>
      <c r="BQ55" s="281"/>
      <c r="BR55" s="422"/>
      <c r="BS55" s="422"/>
      <c r="BT55" s="422"/>
      <c r="BU55" s="281"/>
      <c r="BV55" s="281"/>
      <c r="BW55" s="281"/>
      <c r="BX55" s="281"/>
      <c r="BY55" s="281"/>
      <c r="BZ55" s="1046"/>
      <c r="CA55" s="1046"/>
      <c r="CB55" s="1046"/>
      <c r="CC55" s="1046"/>
      <c r="CD55" s="281"/>
      <c r="CE55" s="281"/>
    </row>
    <row r="56" spans="1:83" ht="12.7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41"/>
      <c r="W56" s="1061"/>
      <c r="X56" s="1061"/>
      <c r="Y56" s="9"/>
      <c r="Z56" s="1275"/>
      <c r="AA56" s="9"/>
      <c r="AB56" s="9"/>
      <c r="AC56" s="9"/>
      <c r="AD56" s="9"/>
      <c r="AE56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154"/>
      <c r="AY56" s="9"/>
      <c r="AZ56" s="154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</row>
    <row r="57" spans="1:83">
      <c r="I57" s="9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41"/>
      <c r="W57" s="1061"/>
      <c r="X57" s="1061"/>
      <c r="Y57" s="1061"/>
      <c r="Z57" s="1275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866"/>
      <c r="BC57" s="154"/>
      <c r="BD57" s="154"/>
      <c r="BE57" s="154"/>
      <c r="BF57" s="154"/>
      <c r="BG57" s="154"/>
      <c r="BH57" s="154"/>
      <c r="BI57" s="154"/>
      <c r="BJ57" s="154"/>
      <c r="BK57" s="154"/>
      <c r="BL57" s="154"/>
      <c r="BM57" s="154"/>
      <c r="BN57" s="154"/>
      <c r="BO57" s="154"/>
      <c r="BP57" s="154"/>
      <c r="BQ57" s="154"/>
      <c r="BR57" s="154"/>
      <c r="BS57" s="154"/>
      <c r="BT57" s="154"/>
      <c r="BU57" s="154"/>
      <c r="BV57" s="154"/>
      <c r="BW57" s="154"/>
      <c r="BX57" s="154"/>
      <c r="BY57" s="154"/>
      <c r="BZ57" s="154"/>
      <c r="CA57" s="154"/>
      <c r="CB57" s="154"/>
      <c r="CC57" s="154"/>
      <c r="CD57" s="154"/>
      <c r="CE57" s="154"/>
    </row>
    <row r="58" spans="1:83">
      <c r="I58" s="9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41"/>
      <c r="W58" s="1061"/>
      <c r="X58" s="1061"/>
      <c r="Y58" s="1061"/>
      <c r="Z58" s="1275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71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9"/>
      <c r="BF58" s="9"/>
      <c r="BG58" s="9"/>
      <c r="BH58" s="9"/>
      <c r="BI58" s="171"/>
      <c r="BJ58" s="9"/>
      <c r="BK58" s="9"/>
      <c r="BL58" s="9"/>
      <c r="BM58" s="9"/>
      <c r="BN58" s="9"/>
      <c r="BO58" s="9"/>
      <c r="BP58" s="9"/>
      <c r="BS58" s="869"/>
      <c r="BT58" s="9"/>
      <c r="BU58" s="9"/>
      <c r="BV58" s="9"/>
      <c r="BW58" s="9"/>
      <c r="BX58" s="9"/>
      <c r="BY58" s="9"/>
      <c r="BZ58" s="9"/>
      <c r="CA58" s="9"/>
      <c r="CB58" s="171"/>
      <c r="CC58" s="9"/>
      <c r="CD58" s="9"/>
      <c r="CE58" s="9"/>
    </row>
    <row r="59" spans="1:83"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1061"/>
      <c r="X59" s="1061"/>
      <c r="Y59" s="1061"/>
      <c r="Z59" s="1275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90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189"/>
      <c r="BC59" s="41"/>
      <c r="BD59" s="41"/>
      <c r="BE59" s="41"/>
      <c r="BF59" s="41"/>
      <c r="BG59" s="41"/>
      <c r="BH59" s="41"/>
      <c r="BI59" s="90"/>
      <c r="BJ59" s="41"/>
      <c r="BK59" s="41"/>
      <c r="BL59" s="41"/>
      <c r="BM59" s="41"/>
      <c r="BN59" s="41"/>
      <c r="BO59" s="41"/>
      <c r="BP59" s="374"/>
      <c r="BQ59" s="374"/>
      <c r="BR59" s="41"/>
      <c r="BS59" s="869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</row>
    <row r="60" spans="1:83">
      <c r="V60" s="41"/>
      <c r="W60" s="1061"/>
      <c r="X60" s="1061"/>
      <c r="Z60" s="1275"/>
      <c r="AE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U60" s="90"/>
      <c r="BV60" s="90"/>
      <c r="BW60" s="90"/>
      <c r="BX60" s="90"/>
    </row>
    <row r="61" spans="1:83">
      <c r="V61" s="41"/>
      <c r="W61" s="1061"/>
      <c r="X61" s="1061"/>
      <c r="Z61" s="1275"/>
      <c r="AM61" s="41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1"/>
      <c r="W62" s="1061"/>
      <c r="X62" s="1061"/>
      <c r="Z62" s="1275"/>
      <c r="AD62" s="41"/>
      <c r="AE62" s="41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1"/>
      <c r="W63" s="1061"/>
      <c r="Z63" s="1275"/>
      <c r="AD63" s="41"/>
      <c r="AE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1"/>
      <c r="W64" s="1061"/>
      <c r="Z64" s="1275"/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1"/>
      <c r="W65" s="1061"/>
      <c r="Z65" s="1275"/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</row>
    <row r="70" spans="10:83"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 ht="12.75" customHeight="1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 ht="12" customHeight="1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5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>
      <c r="AD80" s="41"/>
      <c r="AE80" s="41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1"/>
      <c r="AE81" s="41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0:Y50"/>
    <mergeCell ref="AA50:AH50"/>
    <mergeCell ref="S51:T51"/>
    <mergeCell ref="AJ51:AP51"/>
    <mergeCell ref="J52:Q52"/>
    <mergeCell ref="AA52:AH52"/>
    <mergeCell ref="AZ53:BH5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V3:AX3"/>
    <mergeCell ref="AU4:AU5"/>
    <mergeCell ref="R4:S4"/>
    <mergeCell ref="Y4:Y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J51:Q51"/>
    <mergeCell ref="AZ52:BH52"/>
    <mergeCell ref="J50:Q50"/>
    <mergeCell ref="AZ51:BH51"/>
    <mergeCell ref="AJ50:AP50"/>
    <mergeCell ref="BJ50:BS50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45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G40" sqref="G40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297" t="s">
        <v>1120</v>
      </c>
      <c r="B2" s="2297"/>
      <c r="C2" s="2297"/>
      <c r="D2" s="2297"/>
      <c r="E2" s="2297"/>
      <c r="F2" s="2298" t="s">
        <v>1207</v>
      </c>
      <c r="G2" s="2298"/>
      <c r="H2" s="1124"/>
      <c r="I2" s="2298" t="s">
        <v>927</v>
      </c>
      <c r="J2" s="2298"/>
      <c r="K2" s="2298"/>
      <c r="L2" s="2298"/>
      <c r="M2" s="2298"/>
      <c r="N2" s="2298"/>
      <c r="O2" s="2311" t="s">
        <v>894</v>
      </c>
      <c r="P2" s="2311"/>
      <c r="Q2" s="2311"/>
      <c r="R2" s="2298" t="s">
        <v>1207</v>
      </c>
      <c r="S2" s="2298"/>
      <c r="T2" s="2297" t="s">
        <v>893</v>
      </c>
      <c r="U2" s="2297"/>
      <c r="V2" s="2297"/>
      <c r="W2" s="2297"/>
      <c r="X2" s="2297"/>
      <c r="Y2" s="2297"/>
      <c r="Z2" s="2298" t="s">
        <v>1208</v>
      </c>
      <c r="AA2" s="2298"/>
      <c r="AB2" s="2298"/>
    </row>
    <row r="3" spans="1:28" s="46" customFormat="1" ht="21.75" customHeight="1">
      <c r="A3" s="2305" t="s">
        <v>894</v>
      </c>
      <c r="B3" s="2305"/>
      <c r="C3" s="2305"/>
      <c r="D3" s="2305"/>
      <c r="E3" s="2305"/>
      <c r="F3" s="2291" t="s">
        <v>24</v>
      </c>
      <c r="G3" s="2291"/>
      <c r="H3" s="75"/>
      <c r="K3" s="72"/>
      <c r="L3" s="72"/>
      <c r="M3" s="2121"/>
      <c r="N3" s="2121"/>
      <c r="O3" s="127"/>
      <c r="P3" s="127"/>
      <c r="R3" s="2121" t="s">
        <v>24</v>
      </c>
      <c r="S3" s="2121"/>
      <c r="T3" s="2310" t="s">
        <v>1121</v>
      </c>
      <c r="U3" s="2310"/>
      <c r="V3" s="2310"/>
      <c r="W3" s="2310"/>
      <c r="X3" s="2310"/>
      <c r="Y3" s="2310"/>
      <c r="Z3" s="2310"/>
      <c r="AA3" s="2121" t="s">
        <v>24</v>
      </c>
      <c r="AB3" s="2121"/>
    </row>
    <row r="4" spans="1:28" s="147" customFormat="1" ht="16.5" customHeight="1">
      <c r="A4" s="2302" t="s">
        <v>524</v>
      </c>
      <c r="B4" s="2303" t="s">
        <v>892</v>
      </c>
      <c r="C4" s="2303"/>
      <c r="D4" s="2303"/>
      <c r="E4" s="2303"/>
      <c r="F4" s="2303"/>
      <c r="G4" s="2303"/>
      <c r="H4" s="2107" t="s">
        <v>524</v>
      </c>
      <c r="I4" s="2177" t="s">
        <v>930</v>
      </c>
      <c r="J4" s="2300"/>
      <c r="K4" s="2300"/>
      <c r="L4" s="2300"/>
      <c r="M4" s="2300"/>
      <c r="N4" s="2300"/>
      <c r="O4" s="2300"/>
      <c r="P4" s="2300"/>
      <c r="Q4" s="2300"/>
      <c r="R4" s="2301"/>
      <c r="S4" s="2107" t="s">
        <v>524</v>
      </c>
      <c r="T4" s="2181" t="s">
        <v>524</v>
      </c>
      <c r="U4" s="2177" t="s">
        <v>75</v>
      </c>
      <c r="V4" s="2300"/>
      <c r="W4" s="2300"/>
      <c r="X4" s="2301"/>
      <c r="Y4" s="2300" t="s">
        <v>76</v>
      </c>
      <c r="Z4" s="2300"/>
      <c r="AA4" s="2300"/>
      <c r="AB4" s="2301"/>
    </row>
    <row r="5" spans="1:28" s="129" customFormat="1" ht="12.75" customHeight="1">
      <c r="A5" s="2108"/>
      <c r="B5" s="2304" t="s">
        <v>895</v>
      </c>
      <c r="C5" s="2304"/>
      <c r="D5" s="2304"/>
      <c r="E5" s="2304"/>
      <c r="F5" s="2293" t="s">
        <v>926</v>
      </c>
      <c r="G5" s="2293"/>
      <c r="H5" s="2108"/>
      <c r="I5" s="2110" t="s">
        <v>926</v>
      </c>
      <c r="J5" s="2307"/>
      <c r="K5" s="2304" t="s">
        <v>147</v>
      </c>
      <c r="L5" s="2304"/>
      <c r="M5" s="2304"/>
      <c r="N5" s="2304"/>
      <c r="O5" s="2110" t="s">
        <v>520</v>
      </c>
      <c r="P5" s="2307"/>
      <c r="Q5" s="2307"/>
      <c r="R5" s="2308"/>
      <c r="S5" s="2108"/>
      <c r="T5" s="2181"/>
      <c r="U5" s="2120" t="s">
        <v>877</v>
      </c>
      <c r="V5" s="2120" t="s">
        <v>1302</v>
      </c>
      <c r="W5" s="2120" t="s">
        <v>850</v>
      </c>
      <c r="X5" s="2120" t="s">
        <v>77</v>
      </c>
      <c r="Y5" s="2120" t="s">
        <v>878</v>
      </c>
      <c r="Z5" s="2309" t="s">
        <v>74</v>
      </c>
      <c r="AA5" s="2120" t="s">
        <v>29</v>
      </c>
      <c r="AB5" s="2299" t="s">
        <v>852</v>
      </c>
    </row>
    <row r="6" spans="1:28" s="86" customFormat="1" ht="25.5" customHeight="1">
      <c r="A6" s="2109"/>
      <c r="B6" s="1104" t="s">
        <v>73</v>
      </c>
      <c r="C6" s="1104" t="s">
        <v>74</v>
      </c>
      <c r="D6" s="1104" t="s">
        <v>29</v>
      </c>
      <c r="E6" s="1104" t="s">
        <v>847</v>
      </c>
      <c r="F6" s="1104" t="s">
        <v>73</v>
      </c>
      <c r="G6" s="1104" t="s">
        <v>74</v>
      </c>
      <c r="H6" s="2109"/>
      <c r="I6" s="1104" t="s">
        <v>876</v>
      </c>
      <c r="J6" s="1104" t="s">
        <v>848</v>
      </c>
      <c r="K6" s="1104" t="s">
        <v>851</v>
      </c>
      <c r="L6" s="1104" t="s">
        <v>74</v>
      </c>
      <c r="M6" s="1104" t="s">
        <v>29</v>
      </c>
      <c r="N6" s="1104" t="s">
        <v>875</v>
      </c>
      <c r="O6" s="1104" t="s">
        <v>896</v>
      </c>
      <c r="P6" s="1104" t="s">
        <v>74</v>
      </c>
      <c r="Q6" s="1104" t="s">
        <v>849</v>
      </c>
      <c r="R6" s="1104" t="s">
        <v>931</v>
      </c>
      <c r="S6" s="2109"/>
      <c r="T6" s="2181"/>
      <c r="U6" s="2120"/>
      <c r="V6" s="2120"/>
      <c r="W6" s="2120"/>
      <c r="X6" s="2120"/>
      <c r="Y6" s="2120"/>
      <c r="Z6" s="2131"/>
      <c r="AA6" s="2120"/>
      <c r="AB6" s="2299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586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587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588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589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590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591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592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593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594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595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596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597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602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611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361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198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1151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1179</v>
      </c>
      <c r="U26" s="359" t="s">
        <v>305</v>
      </c>
      <c r="V26" s="360" t="s">
        <v>305</v>
      </c>
      <c r="W26" s="359" t="s">
        <v>305</v>
      </c>
      <c r="X26" s="359" t="s">
        <v>305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905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305</v>
      </c>
      <c r="V28" s="360" t="s">
        <v>305</v>
      </c>
      <c r="W28" s="359" t="s">
        <v>305</v>
      </c>
      <c r="X28" s="359" t="s">
        <v>305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6">
        <v>365.93</v>
      </c>
      <c r="E29" s="717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8">
        <v>3876</v>
      </c>
      <c r="K29" s="427">
        <v>64033.43</v>
      </c>
      <c r="L29" s="427">
        <v>48463.98</v>
      </c>
      <c r="M29" s="427">
        <v>6145.79</v>
      </c>
      <c r="N29" s="718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1104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2">
        <v>20405.580000000002</v>
      </c>
      <c r="C30" s="792">
        <v>18437.03</v>
      </c>
      <c r="D30" s="793">
        <v>-363.99</v>
      </c>
      <c r="E30" s="794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5">
        <v>3997</v>
      </c>
      <c r="K30" s="432">
        <v>66053.23</v>
      </c>
      <c r="L30" s="432">
        <v>48304.639999999999</v>
      </c>
      <c r="M30" s="432">
        <v>7075.22</v>
      </c>
      <c r="N30" s="795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305</v>
      </c>
      <c r="V30" s="360" t="s">
        <v>305</v>
      </c>
      <c r="W30" s="359" t="s">
        <v>305</v>
      </c>
      <c r="X30" s="359" t="s">
        <v>305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1163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1295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1328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1467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3"/>
      <c r="AE34" s="175"/>
    </row>
    <row r="35" spans="1:31" ht="13.5" customHeight="1" thickBot="1">
      <c r="A35" s="1596">
        <v>2021</v>
      </c>
      <c r="B35" s="1597">
        <v>26872.24418464</v>
      </c>
      <c r="C35" s="1597">
        <v>23374.866161400001</v>
      </c>
      <c r="D35" s="1597">
        <v>429.252225071</v>
      </c>
      <c r="E35" s="1599">
        <v>50956</v>
      </c>
      <c r="F35" s="1597">
        <v>5595.4584286017998</v>
      </c>
      <c r="G35" s="1597">
        <v>2450.3390051800002</v>
      </c>
      <c r="H35" s="1596">
        <v>2021</v>
      </c>
      <c r="I35" s="1597">
        <v>1538.7015144</v>
      </c>
      <c r="J35" s="1596">
        <v>3759</v>
      </c>
      <c r="K35" s="1600">
        <v>91769.504217783993</v>
      </c>
      <c r="L35" s="1600">
        <v>69567.008369129995</v>
      </c>
      <c r="M35" s="1600">
        <v>6687.2177825500003</v>
      </c>
      <c r="N35" s="1598">
        <v>134446</v>
      </c>
      <c r="O35" s="1600">
        <v>124237.20683102599</v>
      </c>
      <c r="P35" s="1600">
        <v>95392.213535710005</v>
      </c>
      <c r="Q35" s="1600">
        <v>8655.1715220210008</v>
      </c>
      <c r="R35" s="1598">
        <v>189161</v>
      </c>
      <c r="S35" s="1598">
        <v>2021</v>
      </c>
      <c r="T35" s="183" t="s">
        <v>1596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3"/>
      <c r="AE35" s="175"/>
    </row>
    <row r="36" spans="1:31" ht="13.5" customHeight="1">
      <c r="A36" s="616"/>
      <c r="B36" s="617"/>
      <c r="C36" s="1012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1691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410</v>
      </c>
      <c r="B37" s="2294" t="s">
        <v>1364</v>
      </c>
      <c r="C37" s="2294"/>
      <c r="D37" s="862"/>
      <c r="E37" s="862"/>
      <c r="F37" s="862"/>
      <c r="G37" s="862"/>
      <c r="H37" s="862"/>
      <c r="I37" s="862"/>
      <c r="J37" s="862"/>
      <c r="K37" s="72"/>
      <c r="L37" s="72"/>
      <c r="M37" s="72"/>
      <c r="N37" s="72"/>
      <c r="O37" s="796"/>
      <c r="P37" s="72"/>
      <c r="Q37" s="72"/>
      <c r="R37" s="796"/>
      <c r="S37" s="72"/>
      <c r="T37" s="183" t="s">
        <v>1760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294" t="s">
        <v>1329</v>
      </c>
      <c r="C38" s="2294"/>
      <c r="D38" s="2294"/>
      <c r="E38" s="2294"/>
      <c r="F38" s="862"/>
      <c r="G38" s="862"/>
      <c r="H38" s="862"/>
      <c r="I38" s="862"/>
      <c r="J38" s="862"/>
      <c r="K38" s="72"/>
      <c r="L38" s="72"/>
      <c r="M38" s="72"/>
      <c r="N38" s="72"/>
      <c r="O38" s="796"/>
      <c r="P38" s="72"/>
      <c r="Q38" s="72"/>
      <c r="R38" s="1185"/>
      <c r="S38" s="1619"/>
      <c r="T38" s="1601" t="s">
        <v>2160</v>
      </c>
      <c r="U38" s="1620">
        <v>32199.101299999998</v>
      </c>
      <c r="V38" s="1618">
        <v>2952.0945999999999</v>
      </c>
      <c r="W38" s="1618">
        <f t="shared" si="2"/>
        <v>29247.006699999998</v>
      </c>
      <c r="X38" s="1611">
        <v>6201</v>
      </c>
      <c r="Y38" s="1602" t="s">
        <v>305</v>
      </c>
      <c r="Z38" s="1603" t="s">
        <v>305</v>
      </c>
      <c r="AA38" s="1603" t="s">
        <v>305</v>
      </c>
      <c r="AB38" s="1604" t="s">
        <v>305</v>
      </c>
      <c r="AD38" s="1183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06" t="s">
        <v>1759</v>
      </c>
      <c r="U39" s="2306"/>
      <c r="V39" s="2306"/>
      <c r="W39" s="2306"/>
      <c r="X39" s="2306"/>
      <c r="Y39" s="2306"/>
      <c r="Z39" s="2306"/>
      <c r="AA39" s="2306"/>
      <c r="AB39" s="2306"/>
    </row>
    <row r="40" spans="1:31" ht="12.75" customHeight="1">
      <c r="B40" s="221"/>
      <c r="C40" s="221"/>
      <c r="D40" s="6"/>
      <c r="K40" s="121"/>
      <c r="L40" s="121"/>
      <c r="M40" s="121"/>
      <c r="N40" s="121"/>
      <c r="O40" s="719"/>
      <c r="P40" s="719"/>
      <c r="Q40" s="719"/>
      <c r="R40" s="719"/>
      <c r="S40" s="1184"/>
      <c r="T40" s="2306" t="s">
        <v>1554</v>
      </c>
      <c r="U40" s="2306"/>
      <c r="V40" s="2306"/>
      <c r="W40" s="2306"/>
      <c r="X40" s="2306"/>
      <c r="Y40" s="2306"/>
      <c r="Z40" s="2306"/>
      <c r="AA40" s="2306"/>
      <c r="AB40" s="2306"/>
    </row>
    <row r="41" spans="1:31" ht="12" customHeight="1">
      <c r="A41" s="125"/>
      <c r="B41" s="125"/>
      <c r="K41" s="128"/>
      <c r="L41" s="128"/>
      <c r="M41" s="128"/>
      <c r="N41" s="128"/>
      <c r="O41" s="720"/>
      <c r="P41" s="720"/>
      <c r="Q41" s="720"/>
      <c r="R41" s="720"/>
      <c r="S41" s="128"/>
      <c r="T41" s="2296" t="s">
        <v>1452</v>
      </c>
      <c r="U41" s="2296"/>
      <c r="V41" s="2296"/>
      <c r="W41" s="2296"/>
      <c r="X41" s="2296"/>
      <c r="Y41" s="2296"/>
      <c r="Z41" s="2296"/>
      <c r="AA41" s="2296"/>
      <c r="AB41" s="2296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295" t="s">
        <v>1373</v>
      </c>
      <c r="U42" s="2295"/>
      <c r="V42" s="2295"/>
      <c r="W42" s="2295"/>
      <c r="X42" s="2295"/>
      <c r="Y42" s="2295"/>
      <c r="Z42" s="7"/>
      <c r="AA42" s="763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2"/>
      <c r="P43" s="722"/>
      <c r="Q43" s="722"/>
      <c r="R43" s="722"/>
    </row>
    <row r="44" spans="1:31">
      <c r="I44" s="175"/>
      <c r="K44" s="72"/>
    </row>
    <row r="45" spans="1:31" ht="15">
      <c r="I45" s="175"/>
      <c r="K45" s="72"/>
      <c r="Y45" s="721"/>
      <c r="Z45" s="721"/>
      <c r="AA45" s="721"/>
      <c r="AB45" s="721"/>
    </row>
    <row r="46" spans="1:31" ht="15">
      <c r="K46" s="72"/>
      <c r="W46" s="171"/>
      <c r="Y46" s="721"/>
      <c r="Z46" s="721"/>
      <c r="AA46" s="721"/>
      <c r="AB46" s="721"/>
    </row>
    <row r="47" spans="1:31" ht="15">
      <c r="K47" s="72"/>
      <c r="Y47" s="721"/>
      <c r="Z47" s="721"/>
      <c r="AA47" s="721"/>
      <c r="AB47" s="721"/>
    </row>
    <row r="48" spans="1:31" ht="15">
      <c r="K48" s="72"/>
      <c r="Y48" s="723"/>
      <c r="Z48" s="723"/>
      <c r="AA48" s="723"/>
      <c r="AB48" s="723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45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7"/>
  <sheetViews>
    <sheetView zoomScale="130" zoomScaleNormal="13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H46" sqref="H46"/>
    </sheetView>
  </sheetViews>
  <sheetFormatPr defaultColWidth="9.140625" defaultRowHeight="11.25"/>
  <cols>
    <col min="1" max="1" width="13.140625" style="709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12" t="s">
        <v>1425</v>
      </c>
      <c r="B1" s="2312"/>
      <c r="C1" s="2312"/>
      <c r="D1" s="132" t="s">
        <v>412</v>
      </c>
      <c r="E1" s="131"/>
      <c r="F1" s="131"/>
      <c r="G1" s="131"/>
    </row>
    <row r="2" spans="1:8" s="133" customFormat="1" ht="12" customHeight="1">
      <c r="A2" s="2313" t="s">
        <v>524</v>
      </c>
      <c r="B2" s="2315" t="s">
        <v>60</v>
      </c>
      <c r="C2" s="1953" t="s">
        <v>61</v>
      </c>
      <c r="D2" s="2317"/>
    </row>
    <row r="3" spans="1:8" s="133" customFormat="1" ht="12.75" customHeight="1">
      <c r="A3" s="2314"/>
      <c r="B3" s="2316"/>
      <c r="C3" s="1096" t="s">
        <v>1250</v>
      </c>
      <c r="D3" s="1096" t="s">
        <v>1728</v>
      </c>
    </row>
    <row r="4" spans="1:8" ht="12.2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90"/>
      <c r="F4" s="690"/>
    </row>
    <row r="5" spans="1:8" s="228" customFormat="1" ht="12.2" customHeight="1">
      <c r="A5" s="377" t="s">
        <v>198</v>
      </c>
      <c r="B5" s="537">
        <v>439375</v>
      </c>
      <c r="C5" s="29">
        <v>11650.32</v>
      </c>
      <c r="D5" s="30">
        <v>83008.885067382464</v>
      </c>
      <c r="E5" s="691"/>
      <c r="F5" s="691"/>
    </row>
    <row r="6" spans="1:8" s="228" customFormat="1" ht="12.2" customHeight="1">
      <c r="A6" s="348" t="s">
        <v>789</v>
      </c>
      <c r="B6" s="352">
        <v>691402</v>
      </c>
      <c r="C6" s="326">
        <v>12843.429999999998</v>
      </c>
      <c r="D6" s="328">
        <v>101591.53129999999</v>
      </c>
      <c r="E6" s="691"/>
      <c r="F6" s="690"/>
    </row>
    <row r="7" spans="1:8" s="228" customFormat="1" ht="12.2" customHeight="1">
      <c r="A7" s="377" t="s">
        <v>905</v>
      </c>
      <c r="B7" s="537">
        <v>441301</v>
      </c>
      <c r="C7" s="29">
        <v>14461.15</v>
      </c>
      <c r="D7" s="30">
        <v>115646.15801927802</v>
      </c>
      <c r="E7" s="691"/>
      <c r="F7" s="691"/>
    </row>
    <row r="8" spans="1:8" s="228" customFormat="1" ht="12.2" customHeight="1">
      <c r="A8" s="348" t="s">
        <v>1104</v>
      </c>
      <c r="B8" s="329">
        <v>408870</v>
      </c>
      <c r="C8" s="328">
        <v>14228.3</v>
      </c>
      <c r="D8" s="328">
        <v>110582.38341698999</v>
      </c>
      <c r="E8" s="691"/>
      <c r="F8" s="690"/>
    </row>
    <row r="9" spans="1:8" s="228" customFormat="1" ht="12.2" customHeight="1">
      <c r="A9" s="377" t="s">
        <v>1163</v>
      </c>
      <c r="B9" s="789">
        <v>461829</v>
      </c>
      <c r="C9" s="789">
        <v>15316.91</v>
      </c>
      <c r="D9" s="790">
        <v>118982.31547276099</v>
      </c>
      <c r="E9" s="691"/>
      <c r="F9" s="691"/>
    </row>
    <row r="10" spans="1:8" s="228" customFormat="1" ht="12.2" customHeight="1">
      <c r="A10" s="633" t="s">
        <v>1295</v>
      </c>
      <c r="B10" s="634">
        <v>684537</v>
      </c>
      <c r="C10" s="867">
        <v>14931.18</v>
      </c>
      <c r="D10" s="867">
        <v>116856.72088078099</v>
      </c>
      <c r="E10" s="691"/>
      <c r="F10" s="690"/>
    </row>
    <row r="11" spans="1:8" s="228" customFormat="1" ht="12.2" customHeight="1">
      <c r="A11" s="591" t="s">
        <v>1339</v>
      </c>
      <c r="B11" s="1008">
        <v>905326</v>
      </c>
      <c r="C11" s="1009">
        <v>12769.45</v>
      </c>
      <c r="D11" s="1009">
        <v>101098.96241416999</v>
      </c>
      <c r="E11" s="691"/>
      <c r="F11" s="691"/>
    </row>
    <row r="12" spans="1:8" s="228" customFormat="1" ht="12.2" customHeight="1">
      <c r="A12" s="633" t="s">
        <v>1467</v>
      </c>
      <c r="B12" s="634">
        <v>880037</v>
      </c>
      <c r="C12" s="867">
        <v>14981.689999999999</v>
      </c>
      <c r="D12" s="867">
        <v>123156.004940445</v>
      </c>
      <c r="E12" s="691"/>
      <c r="F12" s="691"/>
    </row>
    <row r="13" spans="1:8" s="228" customFormat="1" ht="12.2" customHeight="1">
      <c r="A13" s="591" t="s">
        <v>1596</v>
      </c>
      <c r="B13" s="1008">
        <v>692978</v>
      </c>
      <c r="C13" s="1009">
        <v>16419.63</v>
      </c>
      <c r="D13" s="1009">
        <v>138006.57168470003</v>
      </c>
      <c r="E13" s="691"/>
      <c r="F13" s="691"/>
    </row>
    <row r="14" spans="1:8" s="228" customFormat="1" ht="12.2" customHeight="1">
      <c r="A14" s="670" t="s">
        <v>1691</v>
      </c>
      <c r="B14" s="678">
        <v>530578</v>
      </c>
      <c r="C14" s="679">
        <v>18205.010000000002</v>
      </c>
      <c r="D14" s="679">
        <v>154353.0611469</v>
      </c>
    </row>
    <row r="15" spans="1:8" s="228" customFormat="1" ht="12.2" customHeight="1">
      <c r="A15" s="618" t="s">
        <v>1760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8"/>
      <c r="F15" s="691"/>
      <c r="G15" s="691"/>
      <c r="H15" s="691"/>
    </row>
    <row r="16" spans="1:8" s="228" customFormat="1" ht="12.2" customHeight="1">
      <c r="A16" s="610" t="s">
        <v>603</v>
      </c>
      <c r="B16" s="704">
        <v>16</v>
      </c>
      <c r="C16" s="635">
        <v>2598.21</v>
      </c>
      <c r="D16" s="635">
        <v>22035.938651999997</v>
      </c>
      <c r="E16" s="858"/>
      <c r="F16" s="691"/>
      <c r="G16" s="691"/>
      <c r="H16" s="691"/>
    </row>
    <row r="17" spans="1:8" s="228" customFormat="1" ht="12.2" customHeight="1">
      <c r="A17" s="607" t="s">
        <v>604</v>
      </c>
      <c r="B17" s="845">
        <v>64</v>
      </c>
      <c r="C17" s="632">
        <v>1963.94</v>
      </c>
      <c r="D17" s="632">
        <v>16661.870566000001</v>
      </c>
      <c r="E17" s="858"/>
      <c r="F17" s="691"/>
      <c r="G17" s="691"/>
      <c r="H17" s="691"/>
    </row>
    <row r="18" spans="1:8" s="228" customFormat="1" ht="12.2" customHeight="1">
      <c r="A18" s="610" t="s">
        <v>598</v>
      </c>
      <c r="B18" s="704">
        <v>195</v>
      </c>
      <c r="C18" s="635">
        <v>2151.0500000000002</v>
      </c>
      <c r="D18" s="635">
        <v>18241.441762500002</v>
      </c>
      <c r="E18" s="858"/>
      <c r="F18" s="691"/>
      <c r="G18" s="691"/>
      <c r="H18" s="691"/>
    </row>
    <row r="19" spans="1:8" s="228" customFormat="1" ht="12.2" customHeight="1">
      <c r="A19" s="607" t="s">
        <v>605</v>
      </c>
      <c r="B19" s="845">
        <v>1208</v>
      </c>
      <c r="C19" s="632">
        <v>2102.16</v>
      </c>
      <c r="D19" s="632">
        <v>17826.8002968</v>
      </c>
      <c r="E19" s="858"/>
      <c r="F19" s="691"/>
      <c r="G19" s="691"/>
      <c r="H19" s="691"/>
    </row>
    <row r="20" spans="1:8" s="228" customFormat="1" ht="12.2" customHeight="1">
      <c r="A20" s="610" t="s">
        <v>606</v>
      </c>
      <c r="B20" s="704">
        <v>6570</v>
      </c>
      <c r="C20" s="635">
        <v>2078.7399999999998</v>
      </c>
      <c r="D20" s="635">
        <v>17627.819137000002</v>
      </c>
      <c r="E20" s="858"/>
      <c r="F20" s="691"/>
      <c r="G20" s="691"/>
      <c r="H20" s="691"/>
    </row>
    <row r="21" spans="1:8" s="228" customFormat="1" ht="12.2" customHeight="1">
      <c r="A21" s="607" t="s">
        <v>599</v>
      </c>
      <c r="B21" s="845">
        <v>28398</v>
      </c>
      <c r="C21" s="632">
        <v>2050.65</v>
      </c>
      <c r="D21" s="632">
        <v>17389.573519500002</v>
      </c>
      <c r="E21" s="858"/>
      <c r="F21" s="691"/>
      <c r="G21" s="691"/>
      <c r="H21" s="691"/>
    </row>
    <row r="22" spans="1:8" s="228" customFormat="1" ht="12.2" customHeight="1">
      <c r="A22" s="610" t="s">
        <v>607</v>
      </c>
      <c r="B22" s="704">
        <v>35732</v>
      </c>
      <c r="C22" s="635">
        <v>1961.91</v>
      </c>
      <c r="D22" s="635">
        <v>16637.212610100003</v>
      </c>
      <c r="E22" s="858"/>
      <c r="F22" s="691"/>
      <c r="G22" s="691"/>
      <c r="H22" s="691"/>
    </row>
    <row r="23" spans="1:8" s="228" customFormat="1" ht="12.2" customHeight="1">
      <c r="A23" s="607" t="s">
        <v>608</v>
      </c>
      <c r="B23" s="845">
        <v>49510</v>
      </c>
      <c r="C23" s="632">
        <v>1780.59</v>
      </c>
      <c r="D23" s="632">
        <v>15099.5278413</v>
      </c>
      <c r="E23" s="858"/>
      <c r="F23" s="691"/>
      <c r="G23" s="691"/>
      <c r="H23" s="691"/>
    </row>
    <row r="24" spans="1:8" s="228" customFormat="1" ht="12.2" customHeight="1">
      <c r="A24" s="610" t="s">
        <v>600</v>
      </c>
      <c r="B24" s="704">
        <v>61653</v>
      </c>
      <c r="C24" s="635">
        <v>1910.98</v>
      </c>
      <c r="D24" s="635">
        <v>16205.282388200001</v>
      </c>
      <c r="E24" s="858"/>
      <c r="F24" s="691"/>
      <c r="G24" s="691"/>
      <c r="H24" s="691"/>
    </row>
    <row r="25" spans="1:8" s="228" customFormat="1" ht="12.2" customHeight="1">
      <c r="A25" s="607" t="s">
        <v>609</v>
      </c>
      <c r="B25" s="845">
        <v>34145</v>
      </c>
      <c r="C25" s="632">
        <v>2067.64</v>
      </c>
      <c r="D25" s="632">
        <v>17533.793963999997</v>
      </c>
      <c r="E25" s="858"/>
      <c r="F25" s="691"/>
      <c r="G25" s="691"/>
      <c r="H25" s="691"/>
    </row>
    <row r="26" spans="1:8" s="228" customFormat="1" ht="12.2" customHeight="1">
      <c r="A26" s="610" t="s">
        <v>610</v>
      </c>
      <c r="B26" s="704">
        <v>14200</v>
      </c>
      <c r="C26" s="635">
        <v>2171.0300000000002</v>
      </c>
      <c r="D26" s="635">
        <v>18410.399530899998</v>
      </c>
      <c r="E26" s="858"/>
      <c r="F26" s="691"/>
      <c r="G26" s="691"/>
      <c r="H26" s="691"/>
    </row>
    <row r="27" spans="1:8" s="228" customFormat="1" ht="12.2" customHeight="1">
      <c r="A27" s="607" t="s">
        <v>601</v>
      </c>
      <c r="B27" s="845">
        <v>48567</v>
      </c>
      <c r="C27" s="632">
        <v>1940.81</v>
      </c>
      <c r="D27" s="632">
        <v>16460.941198800003</v>
      </c>
      <c r="E27" s="858"/>
      <c r="F27" s="691"/>
      <c r="G27" s="691"/>
      <c r="H27" s="691"/>
    </row>
    <row r="28" spans="1:8" s="228" customFormat="1" ht="12.2" customHeight="1">
      <c r="A28" s="670" t="s">
        <v>2160</v>
      </c>
      <c r="B28" s="678">
        <f>SUM(B29:B40)</f>
        <v>988910</v>
      </c>
      <c r="C28" s="366">
        <f>SUM(C29:C40)</f>
        <v>21031.68</v>
      </c>
      <c r="D28" s="366">
        <f>SUM(D29:D40)</f>
        <v>181580.54109750001</v>
      </c>
      <c r="E28" s="858"/>
      <c r="F28" s="691"/>
      <c r="G28" s="691"/>
      <c r="H28" s="691"/>
    </row>
    <row r="29" spans="1:8" s="228" customFormat="1" ht="12.2" customHeight="1">
      <c r="A29" s="607" t="s">
        <v>603</v>
      </c>
      <c r="B29" s="845">
        <v>12380</v>
      </c>
      <c r="C29" s="632">
        <v>1871.49</v>
      </c>
      <c r="D29" s="632">
        <v>15870.9276513</v>
      </c>
      <c r="E29" s="858"/>
      <c r="F29" s="691"/>
      <c r="G29" s="691"/>
      <c r="H29" s="691"/>
    </row>
    <row r="30" spans="1:8" s="228" customFormat="1" ht="12.2" customHeight="1">
      <c r="A30" s="610" t="s">
        <v>604</v>
      </c>
      <c r="B30" s="704">
        <v>19604</v>
      </c>
      <c r="C30" s="635">
        <v>1810.1</v>
      </c>
      <c r="D30" s="635">
        <v>15377.215823</v>
      </c>
      <c r="E30" s="858"/>
      <c r="F30" s="691"/>
      <c r="G30" s="691"/>
      <c r="H30" s="691"/>
    </row>
    <row r="31" spans="1:8" s="228" customFormat="1" ht="12.2" customHeight="1">
      <c r="A31" s="607" t="s">
        <v>598</v>
      </c>
      <c r="B31" s="845">
        <v>42008</v>
      </c>
      <c r="C31" s="632">
        <v>1726.71</v>
      </c>
      <c r="D31" s="632">
        <v>14721.704987700003</v>
      </c>
      <c r="E31" s="858"/>
      <c r="F31" s="691"/>
      <c r="G31" s="691"/>
      <c r="H31" s="691"/>
    </row>
    <row r="32" spans="1:8" s="228" customFormat="1" ht="12.2" customHeight="1">
      <c r="A32" s="610" t="s">
        <v>605</v>
      </c>
      <c r="B32" s="704">
        <v>65223</v>
      </c>
      <c r="C32" s="635">
        <v>1646.87</v>
      </c>
      <c r="D32" s="635">
        <v>14099.199912700004</v>
      </c>
      <c r="E32" s="858"/>
      <c r="F32" s="691"/>
      <c r="G32" s="691"/>
      <c r="H32" s="691"/>
    </row>
    <row r="33" spans="1:9" s="228" customFormat="1" ht="12.2" customHeight="1">
      <c r="A33" s="607" t="s">
        <v>606</v>
      </c>
      <c r="B33" s="845">
        <v>102861</v>
      </c>
      <c r="C33" s="632">
        <v>1553.7</v>
      </c>
      <c r="D33" s="632">
        <v>13326.861749999998</v>
      </c>
      <c r="E33" s="858"/>
      <c r="F33" s="691"/>
      <c r="G33" s="691"/>
      <c r="H33" s="691"/>
    </row>
    <row r="34" spans="1:9" s="228" customFormat="1" ht="12.2" customHeight="1">
      <c r="A34" s="610" t="s">
        <v>599</v>
      </c>
      <c r="B34" s="704">
        <v>131316</v>
      </c>
      <c r="C34" s="635">
        <v>1630.66</v>
      </c>
      <c r="D34" s="635">
        <v>13991.0628</v>
      </c>
      <c r="E34" s="858"/>
      <c r="F34" s="691"/>
      <c r="G34" s="691"/>
      <c r="H34" s="691"/>
    </row>
    <row r="35" spans="1:9" s="228" customFormat="1" ht="12.2" customHeight="1">
      <c r="A35" s="607" t="s">
        <v>607</v>
      </c>
      <c r="B35" s="845">
        <v>109698</v>
      </c>
      <c r="C35" s="632">
        <v>1704.53</v>
      </c>
      <c r="D35" s="632">
        <v>14651.083071400004</v>
      </c>
      <c r="E35" s="858"/>
      <c r="F35" s="691"/>
      <c r="G35" s="691"/>
      <c r="H35" s="691"/>
    </row>
    <row r="36" spans="1:9" s="228" customFormat="1" ht="12.2" customHeight="1">
      <c r="A36" s="610" t="s">
        <v>608</v>
      </c>
      <c r="B36" s="704">
        <v>92569</v>
      </c>
      <c r="C36" s="635">
        <v>1494.47</v>
      </c>
      <c r="D36" s="635">
        <v>12852.442000000001</v>
      </c>
      <c r="E36" s="858"/>
      <c r="F36" s="691"/>
      <c r="G36" s="691"/>
      <c r="H36" s="691"/>
    </row>
    <row r="37" spans="1:9" s="228" customFormat="1" ht="12.2" customHeight="1">
      <c r="A37" s="607" t="s">
        <v>600</v>
      </c>
      <c r="B37" s="845">
        <v>120316</v>
      </c>
      <c r="C37" s="632">
        <v>1859.73</v>
      </c>
      <c r="D37" s="632">
        <v>16004.706198899998</v>
      </c>
      <c r="E37" s="858"/>
      <c r="F37" s="691"/>
      <c r="G37" s="691"/>
      <c r="H37" s="691"/>
      <c r="I37" s="691"/>
    </row>
    <row r="38" spans="1:9" s="228" customFormat="1" ht="12.2" customHeight="1">
      <c r="A38" s="610" t="s">
        <v>609</v>
      </c>
      <c r="B38" s="704">
        <v>103975</v>
      </c>
      <c r="C38" s="635">
        <v>2010.81</v>
      </c>
      <c r="D38" s="635">
        <v>17339.174413799999</v>
      </c>
      <c r="E38" s="858"/>
      <c r="F38" s="691"/>
      <c r="G38" s="691"/>
      <c r="H38" s="691"/>
    </row>
    <row r="39" spans="1:9" s="228" customFormat="1" ht="12.2" customHeight="1">
      <c r="A39" s="607" t="s">
        <v>610</v>
      </c>
      <c r="B39" s="845">
        <v>77421</v>
      </c>
      <c r="C39" s="632">
        <v>1885.34</v>
      </c>
      <c r="D39" s="632">
        <v>16436.903161799997</v>
      </c>
      <c r="E39" s="858"/>
      <c r="F39" s="691"/>
      <c r="G39" s="691"/>
      <c r="H39" s="691"/>
    </row>
    <row r="40" spans="1:9" s="228" customFormat="1" ht="12.2" customHeight="1">
      <c r="A40" s="610" t="s">
        <v>601</v>
      </c>
      <c r="B40" s="704">
        <v>111539</v>
      </c>
      <c r="C40" s="635">
        <v>1837.27</v>
      </c>
      <c r="D40" s="635">
        <v>16909.259326899999</v>
      </c>
      <c r="E40" s="858"/>
      <c r="F40" s="691"/>
      <c r="G40" s="691"/>
      <c r="H40" s="691"/>
    </row>
    <row r="41" spans="1:9" s="228" customFormat="1" ht="12.2" customHeight="1">
      <c r="A41" s="618" t="s">
        <v>2475</v>
      </c>
      <c r="B41" s="845"/>
      <c r="C41" s="632"/>
      <c r="D41" s="632"/>
      <c r="E41" s="858"/>
      <c r="F41" s="691"/>
      <c r="G41" s="691"/>
      <c r="H41" s="691"/>
    </row>
    <row r="42" spans="1:9" s="228" customFormat="1" ht="12.2" customHeight="1">
      <c r="A42" s="610" t="s">
        <v>603</v>
      </c>
      <c r="B42" s="704">
        <v>75499</v>
      </c>
      <c r="C42" s="635">
        <v>2096.3200000000002</v>
      </c>
      <c r="D42" s="635">
        <v>19681.7824736</v>
      </c>
      <c r="E42" s="858"/>
      <c r="F42" s="691"/>
      <c r="G42" s="691"/>
      <c r="H42" s="691"/>
    </row>
    <row r="43" spans="1:9" s="228" customFormat="1" ht="12.2" customHeight="1">
      <c r="A43" s="607" t="s">
        <v>604</v>
      </c>
      <c r="B43" s="845">
        <v>92908</v>
      </c>
      <c r="C43" s="632">
        <v>2036.93</v>
      </c>
      <c r="D43" s="632">
        <v>19331.6063808</v>
      </c>
      <c r="E43" s="858"/>
      <c r="F43" s="691"/>
      <c r="G43" s="691"/>
      <c r="H43" s="691"/>
    </row>
    <row r="44" spans="1:9" s="228" customFormat="1" ht="12.2" customHeight="1">
      <c r="A44" s="610" t="s">
        <v>598</v>
      </c>
      <c r="B44" s="704">
        <v>90814</v>
      </c>
      <c r="C44" s="635">
        <v>1539.6</v>
      </c>
      <c r="D44" s="635">
        <v>14720.946983999998</v>
      </c>
      <c r="E44" s="858"/>
      <c r="F44" s="691"/>
      <c r="G44" s="691"/>
      <c r="H44" s="691"/>
    </row>
    <row r="45" spans="1:9" s="228" customFormat="1" ht="12.2" customHeight="1">
      <c r="A45" s="607" t="s">
        <v>605</v>
      </c>
      <c r="B45" s="845">
        <v>77371</v>
      </c>
      <c r="C45" s="632">
        <v>1525.54</v>
      </c>
      <c r="D45" s="632">
        <v>14739.065731600002</v>
      </c>
      <c r="E45" s="858"/>
      <c r="F45" s="691"/>
      <c r="G45" s="691"/>
      <c r="H45" s="691"/>
    </row>
    <row r="46" spans="1:9" s="228" customFormat="1" ht="12.2" customHeight="1">
      <c r="A46" s="610" t="s">
        <v>2668</v>
      </c>
      <c r="B46" s="704">
        <v>85352</v>
      </c>
      <c r="C46" s="635">
        <v>1595.17</v>
      </c>
      <c r="D46" s="635">
        <v>15571.315761799997</v>
      </c>
      <c r="E46" s="858"/>
      <c r="F46" s="691"/>
      <c r="G46" s="691"/>
      <c r="H46" s="691"/>
    </row>
    <row r="47" spans="1:9" s="228" customFormat="1" ht="12.2" customHeight="1" thickBot="1">
      <c r="A47" s="1588" t="s">
        <v>599</v>
      </c>
      <c r="B47" s="1672">
        <v>98411</v>
      </c>
      <c r="C47" s="1673">
        <v>1699.7</v>
      </c>
      <c r="D47" s="1673">
        <v>16800.888614</v>
      </c>
      <c r="E47" s="858"/>
      <c r="F47" s="691"/>
      <c r="G47" s="691"/>
      <c r="H47" s="691"/>
    </row>
    <row r="48" spans="1:9" ht="11.25" customHeight="1">
      <c r="A48" s="212" t="s">
        <v>1086</v>
      </c>
      <c r="B48" s="2099" t="s">
        <v>1453</v>
      </c>
      <c r="C48" s="2099"/>
      <c r="D48" s="216"/>
      <c r="F48" s="691"/>
      <c r="G48" s="691"/>
      <c r="H48" s="691"/>
    </row>
    <row r="49" spans="1:8" ht="11.25" customHeight="1">
      <c r="A49" s="212" t="s">
        <v>297</v>
      </c>
      <c r="B49" s="2099" t="s">
        <v>1418</v>
      </c>
      <c r="C49" s="2099"/>
      <c r="D49" s="271" t="s">
        <v>2380</v>
      </c>
      <c r="G49" s="691"/>
    </row>
    <row r="50" spans="1:8" ht="11.25" customHeight="1">
      <c r="A50" s="696"/>
      <c r="B50" s="763" t="s">
        <v>1435</v>
      </c>
      <c r="C50" s="763"/>
      <c r="D50" s="763"/>
      <c r="G50" s="691"/>
    </row>
    <row r="51" spans="1:8">
      <c r="A51" s="65"/>
      <c r="B51" s="1066"/>
      <c r="G51" s="691"/>
    </row>
    <row r="52" spans="1:8">
      <c r="A52" s="65"/>
      <c r="B52" s="966"/>
    </row>
    <row r="53" spans="1:8">
      <c r="A53" s="65"/>
      <c r="B53" s="74"/>
      <c r="F53" s="690"/>
      <c r="G53" s="690"/>
      <c r="H53" s="690"/>
    </row>
    <row r="54" spans="1:8">
      <c r="A54" s="65"/>
      <c r="B54" s="685"/>
      <c r="F54" s="690"/>
      <c r="G54" s="690"/>
      <c r="H54" s="690"/>
    </row>
    <row r="55" spans="1:8">
      <c r="A55" s="65"/>
      <c r="B55" s="685"/>
      <c r="F55" s="690"/>
      <c r="G55" s="690"/>
      <c r="H55" s="690"/>
    </row>
    <row r="56" spans="1:8">
      <c r="A56" s="65"/>
      <c r="B56" s="685"/>
      <c r="F56" s="690"/>
      <c r="G56" s="690"/>
      <c r="H56" s="690"/>
    </row>
    <row r="57" spans="1:8">
      <c r="A57" s="65"/>
      <c r="B57" s="74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9:C49"/>
    <mergeCell ref="B48:C48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45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8"/>
  <sheetViews>
    <sheetView zoomScale="140" zoomScaleNormal="140" workbookViewId="0">
      <pane xSplit="1" ySplit="3" topLeftCell="B35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7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04" t="s">
        <v>415</v>
      </c>
      <c r="B1" s="2104"/>
      <c r="C1" s="2104"/>
      <c r="D1" s="2104"/>
      <c r="E1" s="2104"/>
      <c r="F1" s="2104"/>
      <c r="G1" s="2104"/>
      <c r="H1" s="2104"/>
      <c r="I1" s="2104"/>
      <c r="J1" s="2104"/>
      <c r="K1" s="209" t="s">
        <v>353</v>
      </c>
      <c r="L1" s="61"/>
      <c r="M1" s="61"/>
      <c r="N1" s="61"/>
      <c r="O1" s="55"/>
      <c r="P1" s="55"/>
      <c r="Q1" s="55"/>
      <c r="R1" s="55"/>
      <c r="S1" s="55"/>
      <c r="T1" s="2104" t="s">
        <v>1209</v>
      </c>
      <c r="U1" s="2104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121" t="s">
        <v>24</v>
      </c>
      <c r="U2" s="2121"/>
    </row>
    <row r="3" spans="1:25" s="191" customFormat="1" ht="50.25" customHeight="1">
      <c r="A3" s="1109" t="s">
        <v>524</v>
      </c>
      <c r="B3" s="1104" t="s">
        <v>62</v>
      </c>
      <c r="C3" s="1104" t="s">
        <v>1487</v>
      </c>
      <c r="D3" s="1104" t="s">
        <v>1488</v>
      </c>
      <c r="E3" s="1104" t="s">
        <v>63</v>
      </c>
      <c r="F3" s="1104" t="s">
        <v>1489</v>
      </c>
      <c r="G3" s="1104" t="s">
        <v>64</v>
      </c>
      <c r="H3" s="1104" t="s">
        <v>65</v>
      </c>
      <c r="I3" s="1104" t="s">
        <v>66</v>
      </c>
      <c r="J3" s="1104" t="s">
        <v>67</v>
      </c>
      <c r="K3" s="1104" t="s">
        <v>68</v>
      </c>
      <c r="L3" s="1104" t="s">
        <v>69</v>
      </c>
      <c r="M3" s="1104" t="s">
        <v>70</v>
      </c>
      <c r="N3" s="1104" t="s">
        <v>71</v>
      </c>
      <c r="O3" s="1104" t="s">
        <v>557</v>
      </c>
      <c r="P3" s="1093" t="s">
        <v>579</v>
      </c>
      <c r="Q3" s="1093" t="s">
        <v>785</v>
      </c>
      <c r="R3" s="1093" t="s">
        <v>790</v>
      </c>
      <c r="S3" s="1093" t="s">
        <v>1675</v>
      </c>
      <c r="T3" s="1104" t="s">
        <v>72</v>
      </c>
      <c r="U3" s="1104" t="s">
        <v>520</v>
      </c>
    </row>
    <row r="4" spans="1:25" s="9" customFormat="1" ht="12.6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2.6" customHeight="1">
      <c r="A5" s="642" t="s">
        <v>198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3">
        <f t="shared" si="0"/>
        <v>83008.885067382464</v>
      </c>
      <c r="V5" s="532"/>
      <c r="W5" s="532"/>
      <c r="X5" s="532"/>
    </row>
    <row r="6" spans="1:25" s="9" customFormat="1" ht="12.6" customHeight="1">
      <c r="A6" s="609" t="s">
        <v>789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2.6" customHeight="1">
      <c r="A7" s="642" t="s">
        <v>905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3">
        <f t="shared" si="0"/>
        <v>115646.158509278</v>
      </c>
      <c r="V7" s="532"/>
      <c r="W7" s="532"/>
      <c r="X7" s="532"/>
    </row>
    <row r="8" spans="1:25" s="29" customFormat="1" ht="12.6" customHeight="1">
      <c r="A8" s="610" t="s">
        <v>1104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2.6" customHeight="1">
      <c r="A9" s="607" t="s">
        <v>1163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2.6" customHeight="1">
      <c r="A10" s="610" t="s">
        <v>1295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2.6" customHeight="1">
      <c r="A11" s="607" t="s">
        <v>1328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2.6" customHeight="1">
      <c r="A12" s="610" t="s">
        <v>1467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2.6" customHeight="1">
      <c r="A13" s="607" t="s">
        <v>1596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4" customFormat="1" ht="12.6" customHeight="1">
      <c r="A14" s="611" t="s">
        <v>1691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4" customFormat="1" ht="12.6" customHeight="1">
      <c r="A15" s="612" t="s">
        <v>1760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4" customFormat="1" ht="12.6" customHeight="1">
      <c r="A16" s="610" t="s">
        <v>603</v>
      </c>
      <c r="B16" s="879">
        <v>5365.20712</v>
      </c>
      <c r="C16" s="879">
        <v>2411.0355359999999</v>
      </c>
      <c r="D16" s="879">
        <v>1560.6256119999998</v>
      </c>
      <c r="E16" s="879">
        <v>1467.8412839999999</v>
      </c>
      <c r="F16" s="879">
        <v>2913.6314480000001</v>
      </c>
      <c r="G16" s="879">
        <v>3.2228560000000002</v>
      </c>
      <c r="H16" s="879">
        <v>1082.7948039999999</v>
      </c>
      <c r="I16" s="879">
        <v>1680.804216</v>
      </c>
      <c r="J16" s="879">
        <v>702.328172</v>
      </c>
      <c r="K16" s="879">
        <v>48.7669</v>
      </c>
      <c r="L16" s="879">
        <v>514.89365199999997</v>
      </c>
      <c r="M16" s="879">
        <v>0</v>
      </c>
      <c r="N16" s="879">
        <v>74.888995999999992</v>
      </c>
      <c r="O16" s="879">
        <v>1997.9162839999997</v>
      </c>
      <c r="P16" s="879">
        <v>104.23394799999998</v>
      </c>
      <c r="Q16" s="879">
        <v>569.00370799999996</v>
      </c>
      <c r="R16" s="879">
        <v>179.63181600000001</v>
      </c>
      <c r="S16" s="879">
        <v>15.181348</v>
      </c>
      <c r="T16" s="879">
        <v>1343.9309520000002</v>
      </c>
      <c r="U16" s="879">
        <f t="shared" ref="U16:U40" si="2">SUM(B16:T16)</f>
        <v>22035.938651999997</v>
      </c>
      <c r="V16" s="30"/>
      <c r="W16" s="30"/>
      <c r="X16" s="30"/>
    </row>
    <row r="17" spans="1:24" s="864" customFormat="1" ht="12.6" customHeight="1">
      <c r="A17" s="607" t="s">
        <v>604</v>
      </c>
      <c r="B17" s="858">
        <v>3822.6756620000001</v>
      </c>
      <c r="C17" s="858">
        <v>1999.0613569999998</v>
      </c>
      <c r="D17" s="858">
        <v>1247.6423339999999</v>
      </c>
      <c r="E17" s="858">
        <v>1160.173325</v>
      </c>
      <c r="F17" s="858">
        <v>1864.082508</v>
      </c>
      <c r="G17" s="858">
        <v>1.8664580000000002</v>
      </c>
      <c r="H17" s="858">
        <v>865.69715599999995</v>
      </c>
      <c r="I17" s="858">
        <v>1141.6784229999998</v>
      </c>
      <c r="J17" s="858">
        <v>510.39142400000003</v>
      </c>
      <c r="K17" s="858">
        <v>39.110779000000001</v>
      </c>
      <c r="L17" s="858">
        <v>392.21069699999998</v>
      </c>
      <c r="M17" s="858">
        <v>0</v>
      </c>
      <c r="N17" s="858">
        <v>50.055010000000003</v>
      </c>
      <c r="O17" s="858">
        <v>1665.4744089999999</v>
      </c>
      <c r="P17" s="858">
        <v>85.602550999999991</v>
      </c>
      <c r="Q17" s="858">
        <v>686.26267099999995</v>
      </c>
      <c r="R17" s="858">
        <v>125.222364</v>
      </c>
      <c r="S17" s="858">
        <v>12.725849999999999</v>
      </c>
      <c r="T17" s="858">
        <v>991.93758800000069</v>
      </c>
      <c r="U17" s="858">
        <f t="shared" si="2"/>
        <v>16661.870566000001</v>
      </c>
      <c r="V17" s="30"/>
      <c r="W17" s="30"/>
      <c r="X17" s="30"/>
    </row>
    <row r="18" spans="1:24" s="864" customFormat="1" ht="12.6" customHeight="1">
      <c r="A18" s="610" t="s">
        <v>598</v>
      </c>
      <c r="B18" s="879">
        <v>4502.4191324999993</v>
      </c>
      <c r="C18" s="879">
        <v>1963.517085</v>
      </c>
      <c r="D18" s="879">
        <v>1569.4398674999998</v>
      </c>
      <c r="E18" s="879">
        <v>1327.4983349999998</v>
      </c>
      <c r="F18" s="879">
        <v>2136.514185</v>
      </c>
      <c r="G18" s="879">
        <v>1.9504575</v>
      </c>
      <c r="H18" s="879">
        <v>990.57800250000003</v>
      </c>
      <c r="I18" s="879">
        <v>1299.5983124999998</v>
      </c>
      <c r="J18" s="879">
        <v>390.85472250000004</v>
      </c>
      <c r="K18" s="879">
        <v>41.553225000000005</v>
      </c>
      <c r="L18" s="879">
        <v>449.02923750000002</v>
      </c>
      <c r="M18" s="879">
        <v>8.4802499999999989E-2</v>
      </c>
      <c r="N18" s="879">
        <v>56.732872499999999</v>
      </c>
      <c r="O18" s="879">
        <v>1487.0966400000002</v>
      </c>
      <c r="P18" s="879">
        <v>102.01740749999999</v>
      </c>
      <c r="Q18" s="879">
        <v>668.49810749999995</v>
      </c>
      <c r="R18" s="879">
        <v>167.40013499999998</v>
      </c>
      <c r="S18" s="879">
        <v>13.398795000000002</v>
      </c>
      <c r="T18" s="879">
        <v>1073.2604400000014</v>
      </c>
      <c r="U18" s="879">
        <f t="shared" si="2"/>
        <v>18241.441762500002</v>
      </c>
      <c r="V18" s="30"/>
      <c r="W18" s="30"/>
      <c r="X18" s="30"/>
    </row>
    <row r="19" spans="1:24" s="864" customFormat="1" ht="12.6" customHeight="1">
      <c r="A19" s="607" t="s">
        <v>605</v>
      </c>
      <c r="B19" s="858">
        <v>4237.6557333000001</v>
      </c>
      <c r="C19" s="858">
        <v>1826.5567397</v>
      </c>
      <c r="D19" s="858">
        <v>1457.7515370000001</v>
      </c>
      <c r="E19" s="858">
        <v>1315.9620914000002</v>
      </c>
      <c r="F19" s="858">
        <v>2335.6249465999999</v>
      </c>
      <c r="G19" s="858">
        <v>3.4768943000000001</v>
      </c>
      <c r="H19" s="858">
        <v>871.93724859999998</v>
      </c>
      <c r="I19" s="858">
        <v>1322.1526593000001</v>
      </c>
      <c r="J19" s="858">
        <v>396.02674100000002</v>
      </c>
      <c r="K19" s="858">
        <v>40.0266856</v>
      </c>
      <c r="L19" s="858">
        <v>381.61035000000004</v>
      </c>
      <c r="M19" s="858">
        <v>0</v>
      </c>
      <c r="N19" s="858">
        <v>57.156750199999998</v>
      </c>
      <c r="O19" s="858">
        <v>1588.4318813</v>
      </c>
      <c r="P19" s="858">
        <v>82.343033300000016</v>
      </c>
      <c r="Q19" s="858">
        <v>541.5474878</v>
      </c>
      <c r="R19" s="858">
        <v>222.69083979999999</v>
      </c>
      <c r="S19" s="858">
        <v>10.345880599999999</v>
      </c>
      <c r="T19" s="858">
        <v>1135.5027969999987</v>
      </c>
      <c r="U19" s="858">
        <f t="shared" si="2"/>
        <v>17826.8002968</v>
      </c>
      <c r="V19" s="30"/>
      <c r="W19" s="30"/>
      <c r="X19" s="30"/>
    </row>
    <row r="20" spans="1:24" s="864" customFormat="1" ht="12.6" customHeight="1">
      <c r="A20" s="610" t="s">
        <v>606</v>
      </c>
      <c r="B20" s="879">
        <v>3994.0187495</v>
      </c>
      <c r="C20" s="879">
        <v>1790.6473579999997</v>
      </c>
      <c r="D20" s="879">
        <v>1516.2329400000001</v>
      </c>
      <c r="E20" s="879">
        <v>1310.2525254999998</v>
      </c>
      <c r="F20" s="879">
        <v>2319.2936749999999</v>
      </c>
      <c r="G20" s="879">
        <v>2.9680174999999998</v>
      </c>
      <c r="H20" s="879">
        <v>954.00562500000001</v>
      </c>
      <c r="I20" s="879">
        <v>1086.124804</v>
      </c>
      <c r="J20" s="879">
        <v>488.19647850000001</v>
      </c>
      <c r="K20" s="879">
        <v>48.421085499999997</v>
      </c>
      <c r="L20" s="879">
        <v>406.19439499999999</v>
      </c>
      <c r="M20" s="879">
        <v>0</v>
      </c>
      <c r="N20" s="879">
        <v>61.819564499999998</v>
      </c>
      <c r="O20" s="879">
        <v>1598.5742255</v>
      </c>
      <c r="P20" s="879">
        <v>100.14939050000001</v>
      </c>
      <c r="Q20" s="879">
        <v>511.43181549999997</v>
      </c>
      <c r="R20" s="879">
        <v>218.7004895</v>
      </c>
      <c r="S20" s="879">
        <v>12.9744765</v>
      </c>
      <c r="T20" s="879">
        <v>1207.8135214999986</v>
      </c>
      <c r="U20" s="879">
        <f t="shared" si="2"/>
        <v>17627.819137000002</v>
      </c>
      <c r="V20" s="30"/>
      <c r="W20" s="30"/>
      <c r="X20" s="30"/>
    </row>
    <row r="21" spans="1:24" s="864" customFormat="1" ht="12.6" customHeight="1">
      <c r="A21" s="607" t="s">
        <v>599</v>
      </c>
      <c r="B21" s="858">
        <v>4091.1056731999997</v>
      </c>
      <c r="C21" s="858">
        <v>1654.5386533000001</v>
      </c>
      <c r="D21" s="858">
        <v>1298.5469939</v>
      </c>
      <c r="E21" s="858">
        <v>1384.4496977999997</v>
      </c>
      <c r="F21" s="858">
        <v>2394.3364704999999</v>
      </c>
      <c r="G21" s="858">
        <v>5.5968198000000005</v>
      </c>
      <c r="H21" s="858">
        <v>953.15537199999994</v>
      </c>
      <c r="I21" s="858">
        <v>843.84778530000006</v>
      </c>
      <c r="J21" s="858">
        <v>434.09273569999993</v>
      </c>
      <c r="K21" s="858">
        <v>54.865794099999995</v>
      </c>
      <c r="L21" s="858">
        <v>429.85272069999991</v>
      </c>
      <c r="M21" s="858">
        <v>0</v>
      </c>
      <c r="N21" s="858">
        <v>73.097858599999981</v>
      </c>
      <c r="O21" s="858">
        <v>1387.5873088999999</v>
      </c>
      <c r="P21" s="858">
        <v>112.44519779999999</v>
      </c>
      <c r="Q21" s="858">
        <v>674.75598709999986</v>
      </c>
      <c r="R21" s="858">
        <v>190.03747229999999</v>
      </c>
      <c r="S21" s="858">
        <v>17.299261199999997</v>
      </c>
      <c r="T21" s="858">
        <v>1389.9617173000006</v>
      </c>
      <c r="U21" s="858">
        <f t="shared" si="2"/>
        <v>17389.573519500002</v>
      </c>
      <c r="V21" s="30"/>
      <c r="W21" s="30"/>
      <c r="X21" s="30"/>
    </row>
    <row r="22" spans="1:24" s="864" customFormat="1" ht="12.6" customHeight="1">
      <c r="A22" s="610" t="s">
        <v>607</v>
      </c>
      <c r="B22" s="879">
        <v>3935.4494488000005</v>
      </c>
      <c r="C22" s="879">
        <v>1557.3722015000001</v>
      </c>
      <c r="D22" s="879">
        <v>1303.3929069999999</v>
      </c>
      <c r="E22" s="879">
        <v>1392.0948576000001</v>
      </c>
      <c r="F22" s="879">
        <v>2416.4073445000004</v>
      </c>
      <c r="G22" s="879">
        <v>12.4657617</v>
      </c>
      <c r="H22" s="879">
        <v>960.03325310000002</v>
      </c>
      <c r="I22" s="879">
        <v>903.38611830000013</v>
      </c>
      <c r="J22" s="879">
        <v>430.36558249999996</v>
      </c>
      <c r="K22" s="879">
        <v>52.322278700000005</v>
      </c>
      <c r="L22" s="879">
        <v>399.49798210000006</v>
      </c>
      <c r="M22" s="879">
        <v>0</v>
      </c>
      <c r="N22" s="879">
        <v>61.141593100000001</v>
      </c>
      <c r="O22" s="879">
        <v>1181.3641241</v>
      </c>
      <c r="P22" s="879">
        <v>106.59498270000002</v>
      </c>
      <c r="Q22" s="879">
        <v>525.17321230000005</v>
      </c>
      <c r="R22" s="879">
        <v>114.5662861</v>
      </c>
      <c r="S22" s="879">
        <v>12.720165</v>
      </c>
      <c r="T22" s="879">
        <v>1272.8645110000002</v>
      </c>
      <c r="U22" s="879">
        <f t="shared" si="2"/>
        <v>16637.212610100003</v>
      </c>
      <c r="V22" s="30"/>
      <c r="W22" s="30"/>
      <c r="X22" s="30"/>
    </row>
    <row r="23" spans="1:24" s="864" customFormat="1" ht="12.6" customHeight="1">
      <c r="A23" s="607" t="s">
        <v>608</v>
      </c>
      <c r="B23" s="858">
        <v>3390.1623846000002</v>
      </c>
      <c r="C23" s="858">
        <v>1291.7690631</v>
      </c>
      <c r="D23" s="858">
        <v>1366.9024833000001</v>
      </c>
      <c r="E23" s="858">
        <v>1257.0007761000002</v>
      </c>
      <c r="F23" s="858">
        <v>2197.7797419000003</v>
      </c>
      <c r="G23" s="858">
        <v>12.550503600000001</v>
      </c>
      <c r="H23" s="858">
        <v>938.31974550000018</v>
      </c>
      <c r="I23" s="858">
        <v>751.24940130000005</v>
      </c>
      <c r="J23" s="858">
        <v>368.54384220000003</v>
      </c>
      <c r="K23" s="858">
        <v>47.149189200000002</v>
      </c>
      <c r="L23" s="858">
        <v>343.442835</v>
      </c>
      <c r="M23" s="858">
        <v>0</v>
      </c>
      <c r="N23" s="858">
        <v>43.926762600000004</v>
      </c>
      <c r="O23" s="858">
        <v>1218.7556604000001</v>
      </c>
      <c r="P23" s="858">
        <v>94.722381900000002</v>
      </c>
      <c r="Q23" s="858">
        <v>444.94927290000004</v>
      </c>
      <c r="R23" s="858">
        <v>115.4137527</v>
      </c>
      <c r="S23" s="858">
        <v>13.822514100000001</v>
      </c>
      <c r="T23" s="858">
        <v>1203.0675309000003</v>
      </c>
      <c r="U23" s="858">
        <f t="shared" si="2"/>
        <v>15099.5278413</v>
      </c>
      <c r="V23" s="30"/>
      <c r="W23" s="30"/>
      <c r="X23" s="30"/>
    </row>
    <row r="24" spans="1:24" s="864" customFormat="1" ht="12.6" customHeight="1">
      <c r="A24" s="610" t="s">
        <v>600</v>
      </c>
      <c r="B24" s="879">
        <v>3614.0447561999999</v>
      </c>
      <c r="C24" s="879">
        <v>1442.2089062999999</v>
      </c>
      <c r="D24" s="879">
        <v>1537.6099187999998</v>
      </c>
      <c r="E24" s="879">
        <v>1352.1503504999998</v>
      </c>
      <c r="F24" s="879">
        <v>2531.8156704000003</v>
      </c>
      <c r="G24" s="879">
        <v>6.2752666000000001</v>
      </c>
      <c r="H24" s="879">
        <v>1004.042656</v>
      </c>
      <c r="I24" s="879">
        <v>901.26396520000003</v>
      </c>
      <c r="J24" s="879">
        <v>362.35424569999998</v>
      </c>
      <c r="K24" s="879">
        <v>45.283680599999997</v>
      </c>
      <c r="L24" s="879">
        <v>378.9752221</v>
      </c>
      <c r="M24" s="879">
        <v>0</v>
      </c>
      <c r="N24" s="879">
        <v>46.725295899999999</v>
      </c>
      <c r="O24" s="879">
        <v>1113.1814143000001</v>
      </c>
      <c r="P24" s="879">
        <v>100.48906649999999</v>
      </c>
      <c r="Q24" s="879">
        <v>479.37948770000003</v>
      </c>
      <c r="R24" s="879">
        <v>111.3435817</v>
      </c>
      <c r="S24" s="879">
        <v>14.8401575</v>
      </c>
      <c r="T24" s="879">
        <v>1163.2987462000001</v>
      </c>
      <c r="U24" s="879">
        <f t="shared" si="2"/>
        <v>16205.282388200001</v>
      </c>
      <c r="V24" s="30"/>
      <c r="W24" s="30"/>
      <c r="X24" s="30"/>
    </row>
    <row r="25" spans="1:24" s="864" customFormat="1" ht="12.6" customHeight="1">
      <c r="A25" s="607" t="s">
        <v>609</v>
      </c>
      <c r="B25" s="858">
        <v>3714.7078050000005</v>
      </c>
      <c r="C25" s="858">
        <v>1543.2933990000001</v>
      </c>
      <c r="D25" s="858">
        <v>1556.7767580000002</v>
      </c>
      <c r="E25" s="858">
        <v>1376.5746330000002</v>
      </c>
      <c r="F25" s="858">
        <v>2919.1048230000006</v>
      </c>
      <c r="G25" s="858">
        <v>2.3744280000000004</v>
      </c>
      <c r="H25" s="858">
        <v>1178.479497</v>
      </c>
      <c r="I25" s="858">
        <v>949.60159799999997</v>
      </c>
      <c r="J25" s="858">
        <v>393.22223700000001</v>
      </c>
      <c r="K25" s="858">
        <v>49.608584999999998</v>
      </c>
      <c r="L25" s="858">
        <v>384.31813199999999</v>
      </c>
      <c r="M25" s="858">
        <v>0</v>
      </c>
      <c r="N25" s="858">
        <v>51.983013000000007</v>
      </c>
      <c r="O25" s="858">
        <v>1380.6450810000001</v>
      </c>
      <c r="P25" s="858">
        <v>116.17737</v>
      </c>
      <c r="Q25" s="858">
        <v>520.84774200000004</v>
      </c>
      <c r="R25" s="858">
        <v>129.660729</v>
      </c>
      <c r="S25" s="858">
        <v>18.486618</v>
      </c>
      <c r="T25" s="858">
        <v>1247.9315159999978</v>
      </c>
      <c r="U25" s="858">
        <f t="shared" si="2"/>
        <v>17533.793963999997</v>
      </c>
      <c r="V25" s="30"/>
      <c r="W25" s="30"/>
      <c r="X25" s="30"/>
    </row>
    <row r="26" spans="1:24" s="864" customFormat="1" ht="12.6" customHeight="1">
      <c r="A26" s="610" t="s">
        <v>610</v>
      </c>
      <c r="B26" s="879">
        <v>4037.3422829999995</v>
      </c>
      <c r="C26" s="879">
        <v>1685.9147643000001</v>
      </c>
      <c r="D26" s="879">
        <v>1524.4549930999999</v>
      </c>
      <c r="E26" s="879">
        <v>1346.1199621999999</v>
      </c>
      <c r="F26" s="879">
        <v>2836.5700349999997</v>
      </c>
      <c r="G26" s="879">
        <v>3.4768122999999997</v>
      </c>
      <c r="H26" s="879">
        <v>1229.5195497</v>
      </c>
      <c r="I26" s="879">
        <v>1138.1896265999999</v>
      </c>
      <c r="J26" s="879">
        <v>453.42720409999993</v>
      </c>
      <c r="K26" s="879">
        <v>51.643382699999997</v>
      </c>
      <c r="L26" s="879">
        <v>424.00149999999996</v>
      </c>
      <c r="M26" s="879">
        <v>0</v>
      </c>
      <c r="N26" s="879">
        <v>50.4561785</v>
      </c>
      <c r="O26" s="879">
        <v>1468.1475938999997</v>
      </c>
      <c r="P26" s="879">
        <v>107.61158069999999</v>
      </c>
      <c r="Q26" s="879">
        <v>604.28693780000003</v>
      </c>
      <c r="R26" s="879">
        <v>98.029146800000007</v>
      </c>
      <c r="S26" s="879">
        <v>22.4720795</v>
      </c>
      <c r="T26" s="879">
        <v>1328.7359006999993</v>
      </c>
      <c r="U26" s="879">
        <f t="shared" si="2"/>
        <v>18410.399530899998</v>
      </c>
      <c r="V26" s="30"/>
      <c r="W26" s="30"/>
      <c r="X26" s="30"/>
    </row>
    <row r="27" spans="1:24" s="864" customFormat="1" ht="12.6" customHeight="1">
      <c r="A27" s="607" t="s">
        <v>601</v>
      </c>
      <c r="B27" s="858">
        <v>3816.4115556000006</v>
      </c>
      <c r="C27" s="858">
        <v>1526.9208444000001</v>
      </c>
      <c r="D27" s="858">
        <v>1222.0964532000003</v>
      </c>
      <c r="E27" s="858">
        <v>1308.5227344</v>
      </c>
      <c r="F27" s="858">
        <v>2491.8588239999999</v>
      </c>
      <c r="G27" s="858">
        <v>2.7988884000000001</v>
      </c>
      <c r="H27" s="858">
        <v>1269.8471856000001</v>
      </c>
      <c r="I27" s="858">
        <v>1005.3946392000001</v>
      </c>
      <c r="J27" s="858">
        <v>369.45326880000005</v>
      </c>
      <c r="K27" s="858">
        <v>48.514065600000002</v>
      </c>
      <c r="L27" s="858">
        <v>395.57622720000006</v>
      </c>
      <c r="M27" s="858">
        <v>0</v>
      </c>
      <c r="N27" s="858">
        <v>46.563325200000001</v>
      </c>
      <c r="O27" s="858">
        <v>894.20243640000012</v>
      </c>
      <c r="P27" s="858">
        <v>89.903688000000002</v>
      </c>
      <c r="Q27" s="858">
        <v>650.86877519999996</v>
      </c>
      <c r="R27" s="858">
        <v>101.0992416</v>
      </c>
      <c r="S27" s="858">
        <v>16.878145199999999</v>
      </c>
      <c r="T27" s="858">
        <v>1204.0309007999995</v>
      </c>
      <c r="U27" s="858">
        <f t="shared" si="2"/>
        <v>16460.941198800003</v>
      </c>
      <c r="V27" s="30"/>
      <c r="W27" s="30"/>
      <c r="X27" s="30"/>
    </row>
    <row r="28" spans="1:24" s="864" customFormat="1" ht="12.6" customHeight="1">
      <c r="A28" s="611" t="s">
        <v>2160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4" customFormat="1" ht="12.6" customHeight="1">
      <c r="A29" s="607" t="s">
        <v>603</v>
      </c>
      <c r="B29" s="858">
        <v>3921.1534806000004</v>
      </c>
      <c r="C29" s="858">
        <v>1349.9052966000002</v>
      </c>
      <c r="D29" s="858">
        <v>1351.6013705999999</v>
      </c>
      <c r="E29" s="858">
        <v>1262.2182708000003</v>
      </c>
      <c r="F29" s="858">
        <v>2395.1957028000002</v>
      </c>
      <c r="G29" s="858">
        <v>1.9504851000000003</v>
      </c>
      <c r="H29" s="858">
        <v>1021.6301739</v>
      </c>
      <c r="I29" s="858">
        <v>933.0103074000001</v>
      </c>
      <c r="J29" s="858">
        <v>321.15161189999998</v>
      </c>
      <c r="K29" s="858">
        <v>45.624390600000005</v>
      </c>
      <c r="L29" s="858">
        <v>392.30191619999999</v>
      </c>
      <c r="M29" s="858">
        <v>0.84803700000000004</v>
      </c>
      <c r="N29" s="858">
        <v>51.306238500000006</v>
      </c>
      <c r="O29" s="858">
        <v>939.37058490000004</v>
      </c>
      <c r="P29" s="858">
        <v>84.125270400000005</v>
      </c>
      <c r="Q29" s="858">
        <v>654.85417140000004</v>
      </c>
      <c r="R29" s="858">
        <v>60.719449200000007</v>
      </c>
      <c r="S29" s="858">
        <v>15.519077100000001</v>
      </c>
      <c r="T29" s="858">
        <v>1068.4418163000003</v>
      </c>
      <c r="U29" s="858">
        <f t="shared" si="2"/>
        <v>15870.9276513</v>
      </c>
      <c r="V29" s="30"/>
      <c r="W29" s="30"/>
      <c r="X29" s="30"/>
    </row>
    <row r="30" spans="1:24" s="864" customFormat="1" ht="12.6" customHeight="1">
      <c r="A30" s="610" t="s">
        <v>604</v>
      </c>
      <c r="B30" s="879">
        <v>3672.3180243999996</v>
      </c>
      <c r="C30" s="879">
        <v>1319.8189328000001</v>
      </c>
      <c r="D30" s="879">
        <v>1239.0292955</v>
      </c>
      <c r="E30" s="879">
        <v>1296.6269548999999</v>
      </c>
      <c r="F30" s="879">
        <v>2357.5962295999998</v>
      </c>
      <c r="G30" s="879">
        <v>2.6335213</v>
      </c>
      <c r="H30" s="879">
        <v>1071.1635506999999</v>
      </c>
      <c r="I30" s="879">
        <v>848.07881089999989</v>
      </c>
      <c r="J30" s="879">
        <v>320.270171</v>
      </c>
      <c r="K30" s="879">
        <v>58.532134699999993</v>
      </c>
      <c r="L30" s="879">
        <v>388.3169633</v>
      </c>
      <c r="M30" s="879">
        <v>0</v>
      </c>
      <c r="N30" s="879">
        <v>52.330616799999994</v>
      </c>
      <c r="O30" s="879">
        <v>817.58093519999989</v>
      </c>
      <c r="P30" s="879">
        <v>66.262794</v>
      </c>
      <c r="Q30" s="879">
        <v>772.30135929999983</v>
      </c>
      <c r="R30" s="879">
        <v>79.345448199999993</v>
      </c>
      <c r="S30" s="879">
        <v>14.866652499999997</v>
      </c>
      <c r="T30" s="879">
        <v>1000.1434279000001</v>
      </c>
      <c r="U30" s="879">
        <f t="shared" si="2"/>
        <v>15377.215823</v>
      </c>
      <c r="V30" s="30"/>
      <c r="W30" s="30"/>
      <c r="X30" s="30"/>
    </row>
    <row r="31" spans="1:24" s="864" customFormat="1" ht="12.6" customHeight="1">
      <c r="A31" s="607" t="s">
        <v>598</v>
      </c>
      <c r="B31" s="858">
        <v>3491.0879889000003</v>
      </c>
      <c r="C31" s="858">
        <v>1123.3686312</v>
      </c>
      <c r="D31" s="858">
        <v>1251.4271986000001</v>
      </c>
      <c r="E31" s="858">
        <v>1198.5668046000003</v>
      </c>
      <c r="F31" s="858">
        <v>2542.5849514000006</v>
      </c>
      <c r="G31" s="858">
        <v>2.0462088</v>
      </c>
      <c r="H31" s="858">
        <v>935.79949120000003</v>
      </c>
      <c r="I31" s="858">
        <v>696.47832029999995</v>
      </c>
      <c r="J31" s="858">
        <v>307.44287220000007</v>
      </c>
      <c r="K31" s="858">
        <v>56.952811599999997</v>
      </c>
      <c r="L31" s="858">
        <v>370.96060369999998</v>
      </c>
      <c r="M31" s="858">
        <v>0</v>
      </c>
      <c r="N31" s="858">
        <v>50.558409099999999</v>
      </c>
      <c r="O31" s="858">
        <v>714.89419950000001</v>
      </c>
      <c r="P31" s="858">
        <v>85.599734799999993</v>
      </c>
      <c r="Q31" s="858">
        <v>767.07252390000008</v>
      </c>
      <c r="R31" s="858">
        <v>76.477053900000016</v>
      </c>
      <c r="S31" s="858">
        <v>13.129839800000003</v>
      </c>
      <c r="T31" s="858">
        <v>1037.2573442000007</v>
      </c>
      <c r="U31" s="858">
        <f t="shared" si="2"/>
        <v>14721.704987700003</v>
      </c>
      <c r="V31" s="30"/>
      <c r="W31" s="30"/>
      <c r="X31" s="30"/>
    </row>
    <row r="32" spans="1:24" s="864" customFormat="1" ht="12.6" customHeight="1">
      <c r="A32" s="610" t="s">
        <v>605</v>
      </c>
      <c r="B32" s="879">
        <v>3387.4995728000004</v>
      </c>
      <c r="C32" s="879">
        <v>1049.0906734</v>
      </c>
      <c r="D32" s="879">
        <v>1227.1638414000001</v>
      </c>
      <c r="E32" s="879">
        <v>1122.8026915</v>
      </c>
      <c r="F32" s="879">
        <v>2516.3108431999999</v>
      </c>
      <c r="G32" s="879">
        <v>2.0546903999999997</v>
      </c>
      <c r="H32" s="879">
        <v>915.27896110000006</v>
      </c>
      <c r="I32" s="879">
        <v>556.56426209999995</v>
      </c>
      <c r="J32" s="879">
        <v>274.55800469999997</v>
      </c>
      <c r="K32" s="879">
        <v>45.374412999999997</v>
      </c>
      <c r="L32" s="879">
        <v>347.49951390000001</v>
      </c>
      <c r="M32" s="879">
        <v>0</v>
      </c>
      <c r="N32" s="879">
        <v>43.319722599999992</v>
      </c>
      <c r="O32" s="879">
        <v>702.10483210000007</v>
      </c>
      <c r="P32" s="879">
        <v>96.827285100000012</v>
      </c>
      <c r="Q32" s="879">
        <v>718.79919159999986</v>
      </c>
      <c r="R32" s="879">
        <v>80.132925599999993</v>
      </c>
      <c r="S32" s="879">
        <v>14.725281200000001</v>
      </c>
      <c r="T32" s="879">
        <v>999.09320700000137</v>
      </c>
      <c r="U32" s="879">
        <f t="shared" si="2"/>
        <v>14099.199912700004</v>
      </c>
      <c r="V32" s="30"/>
      <c r="W32" s="30"/>
      <c r="X32" s="30"/>
    </row>
    <row r="33" spans="1:24" s="864" customFormat="1" ht="12.6" customHeight="1">
      <c r="A33" s="607" t="s">
        <v>606</v>
      </c>
      <c r="B33" s="858">
        <v>3132.7603250000002</v>
      </c>
      <c r="C33" s="858">
        <v>1080.25035</v>
      </c>
      <c r="D33" s="858">
        <v>1189.1846</v>
      </c>
      <c r="E33" s="858">
        <v>1088.8278500000001</v>
      </c>
      <c r="F33" s="858">
        <v>2330.420975</v>
      </c>
      <c r="G33" s="858">
        <v>1.2008500000000002</v>
      </c>
      <c r="H33" s="858">
        <v>906.89907500000004</v>
      </c>
      <c r="I33" s="858">
        <v>536.43685000000005</v>
      </c>
      <c r="J33" s="858">
        <v>228.50460000000004</v>
      </c>
      <c r="K33" s="858">
        <v>45.117650000000005</v>
      </c>
      <c r="L33" s="858">
        <v>377.15267499999999</v>
      </c>
      <c r="M33" s="858">
        <v>0</v>
      </c>
      <c r="N33" s="858">
        <v>41.086224999999999</v>
      </c>
      <c r="O33" s="858">
        <v>618.09465000000012</v>
      </c>
      <c r="P33" s="858">
        <v>77.197500000000005</v>
      </c>
      <c r="Q33" s="858">
        <v>631.81864999999993</v>
      </c>
      <c r="R33" s="858">
        <v>77.111725000000007</v>
      </c>
      <c r="S33" s="858">
        <v>11.064975</v>
      </c>
      <c r="T33" s="858">
        <v>953.73222499999952</v>
      </c>
      <c r="U33" s="858">
        <f t="shared" si="2"/>
        <v>13326.861749999998</v>
      </c>
      <c r="V33" s="30"/>
      <c r="W33" s="30"/>
      <c r="X33" s="30"/>
    </row>
    <row r="34" spans="1:24" s="864" customFormat="1" ht="12.6" customHeight="1">
      <c r="A34" s="610" t="s">
        <v>599</v>
      </c>
      <c r="B34" s="879">
        <v>3174.9432000000002</v>
      </c>
      <c r="C34" s="879">
        <v>1033.8042</v>
      </c>
      <c r="D34" s="879">
        <v>1256.4551999999999</v>
      </c>
      <c r="E34" s="879">
        <v>1201.3715999999999</v>
      </c>
      <c r="F34" s="879">
        <v>2302.7861999999996</v>
      </c>
      <c r="G34" s="879">
        <v>1.4586000000000001</v>
      </c>
      <c r="H34" s="879">
        <v>993.99299999999982</v>
      </c>
      <c r="I34" s="879">
        <v>527.32680000000005</v>
      </c>
      <c r="J34" s="879">
        <v>261.34679999999997</v>
      </c>
      <c r="K34" s="879">
        <v>54.397199999999998</v>
      </c>
      <c r="L34" s="879">
        <v>400.34279999999995</v>
      </c>
      <c r="M34" s="879">
        <v>0</v>
      </c>
      <c r="N34" s="879">
        <v>54.740400000000001</v>
      </c>
      <c r="O34" s="879">
        <v>656.79899999999998</v>
      </c>
      <c r="P34" s="879">
        <v>85.370999999999995</v>
      </c>
      <c r="Q34" s="879">
        <v>777.09059999999988</v>
      </c>
      <c r="R34" s="879">
        <v>102.7884</v>
      </c>
      <c r="S34" s="879">
        <v>14.585999999999999</v>
      </c>
      <c r="T34" s="879">
        <v>1091.4617999999998</v>
      </c>
      <c r="U34" s="879">
        <f t="shared" si="2"/>
        <v>13991.0628</v>
      </c>
      <c r="V34" s="30"/>
      <c r="W34" s="30"/>
      <c r="X34" s="30"/>
    </row>
    <row r="35" spans="1:24" s="864" customFormat="1" ht="12.6" customHeight="1">
      <c r="A35" s="607" t="s">
        <v>607</v>
      </c>
      <c r="B35" s="858">
        <v>3078.4353469999996</v>
      </c>
      <c r="C35" s="858">
        <v>1193.8982820000001</v>
      </c>
      <c r="D35" s="858">
        <v>1665.0970136000001</v>
      </c>
      <c r="E35" s="858">
        <v>1128.4014864000001</v>
      </c>
      <c r="F35" s="858">
        <v>2402.3227562000002</v>
      </c>
      <c r="G35" s="858">
        <v>1.9769374000000002</v>
      </c>
      <c r="H35" s="858">
        <v>960.70562260000008</v>
      </c>
      <c r="I35" s="858">
        <v>593.94075799999996</v>
      </c>
      <c r="J35" s="858">
        <v>283.81944759999999</v>
      </c>
      <c r="K35" s="858">
        <v>63.605812</v>
      </c>
      <c r="L35" s="858">
        <v>407.67887340000004</v>
      </c>
      <c r="M35" s="858">
        <v>0</v>
      </c>
      <c r="N35" s="858">
        <v>49.509388799999996</v>
      </c>
      <c r="O35" s="858">
        <v>681.52768020000008</v>
      </c>
      <c r="P35" s="858">
        <v>93.517734400000009</v>
      </c>
      <c r="Q35" s="858">
        <v>774.18587659999992</v>
      </c>
      <c r="R35" s="858">
        <v>100.99571499999999</v>
      </c>
      <c r="S35" s="858">
        <v>15.127868800000002</v>
      </c>
      <c r="T35" s="858">
        <v>1156.3364713999999</v>
      </c>
      <c r="U35" s="858">
        <f t="shared" si="2"/>
        <v>14651.083071400004</v>
      </c>
      <c r="V35" s="30"/>
      <c r="W35" s="30"/>
      <c r="X35" s="30"/>
    </row>
    <row r="36" spans="1:24" s="864" customFormat="1" ht="12.6" customHeight="1">
      <c r="A36" s="610" t="s">
        <v>608</v>
      </c>
      <c r="B36" s="879">
        <v>2713.4719999999998</v>
      </c>
      <c r="C36" s="879">
        <v>1102.1759999999999</v>
      </c>
      <c r="D36" s="879">
        <v>1419.43</v>
      </c>
      <c r="E36" s="879">
        <v>1036.9019999999998</v>
      </c>
      <c r="F36" s="879">
        <v>2027.5360000000001</v>
      </c>
      <c r="G36" s="879">
        <v>1.4620000000000002</v>
      </c>
      <c r="H36" s="879">
        <v>841.59599999999989</v>
      </c>
      <c r="I36" s="879">
        <v>498.45600000000002</v>
      </c>
      <c r="J36" s="879">
        <v>246.73400000000001</v>
      </c>
      <c r="K36" s="879">
        <v>56.158000000000001</v>
      </c>
      <c r="L36" s="879">
        <v>420.11</v>
      </c>
      <c r="M36" s="879">
        <v>0</v>
      </c>
      <c r="N36" s="879">
        <v>44.72</v>
      </c>
      <c r="O36" s="879">
        <v>645.43000000000006</v>
      </c>
      <c r="P36" s="879">
        <v>77.056000000000012</v>
      </c>
      <c r="Q36" s="879">
        <v>579.72599999999989</v>
      </c>
      <c r="R36" s="879">
        <v>98.556000000000012</v>
      </c>
      <c r="S36" s="879">
        <v>10.061999999999999</v>
      </c>
      <c r="T36" s="879">
        <v>1032.8600000000001</v>
      </c>
      <c r="U36" s="879">
        <f t="shared" si="2"/>
        <v>12852.442000000001</v>
      </c>
      <c r="V36" s="30"/>
      <c r="W36" s="30"/>
      <c r="X36" s="30"/>
    </row>
    <row r="37" spans="1:24" s="864" customFormat="1" ht="12.6" customHeight="1">
      <c r="A37" s="607" t="s">
        <v>600</v>
      </c>
      <c r="B37" s="858">
        <v>3248.9106935999998</v>
      </c>
      <c r="C37" s="858">
        <v>1584.6959501999997</v>
      </c>
      <c r="D37" s="858">
        <v>1843.9926210999997</v>
      </c>
      <c r="E37" s="858">
        <v>1243.3847664</v>
      </c>
      <c r="F37" s="858">
        <v>2653.3803375999996</v>
      </c>
      <c r="G37" s="858">
        <v>1.2048302</v>
      </c>
      <c r="H37" s="858">
        <v>1029.4413466000001</v>
      </c>
      <c r="I37" s="858">
        <v>639.42059899999992</v>
      </c>
      <c r="J37" s="858">
        <v>256.19853609999996</v>
      </c>
      <c r="K37" s="858">
        <v>69.535914399999996</v>
      </c>
      <c r="L37" s="858">
        <v>494.66885639999992</v>
      </c>
      <c r="M37" s="858">
        <v>0</v>
      </c>
      <c r="N37" s="858">
        <v>51.549520699999995</v>
      </c>
      <c r="O37" s="858">
        <v>700.78087990000006</v>
      </c>
      <c r="P37" s="858">
        <v>117.38488519999999</v>
      </c>
      <c r="Q37" s="858">
        <v>739.07726839999987</v>
      </c>
      <c r="R37" s="858">
        <v>112.0492086</v>
      </c>
      <c r="S37" s="858">
        <v>14.716140299999998</v>
      </c>
      <c r="T37" s="858">
        <v>1204.3138442000004</v>
      </c>
      <c r="U37" s="858">
        <f t="shared" si="2"/>
        <v>16004.706198899998</v>
      </c>
      <c r="V37" s="30"/>
      <c r="W37" s="30"/>
      <c r="X37" s="30"/>
    </row>
    <row r="38" spans="1:24" s="864" customFormat="1" ht="12.6" customHeight="1">
      <c r="A38" s="610" t="s">
        <v>609</v>
      </c>
      <c r="B38" s="879">
        <v>3242.8440885999998</v>
      </c>
      <c r="C38" s="879">
        <v>2037.0927952000002</v>
      </c>
      <c r="D38" s="879">
        <v>2060.6335306000001</v>
      </c>
      <c r="E38" s="879">
        <v>1278.8741637999999</v>
      </c>
      <c r="F38" s="879">
        <v>3062.6238066000001</v>
      </c>
      <c r="G38" s="879">
        <v>1.5521363999999997</v>
      </c>
      <c r="H38" s="879">
        <v>974.05182079999997</v>
      </c>
      <c r="I38" s="879">
        <v>641.89463120000005</v>
      </c>
      <c r="J38" s="879">
        <v>298.18264839999995</v>
      </c>
      <c r="K38" s="879">
        <v>76.2271432</v>
      </c>
      <c r="L38" s="879">
        <v>425.02668419999998</v>
      </c>
      <c r="M38" s="879">
        <v>8.6229799999999995E-2</v>
      </c>
      <c r="N38" s="879">
        <v>42.0801424</v>
      </c>
      <c r="O38" s="879">
        <v>798.6604076000001</v>
      </c>
      <c r="P38" s="879">
        <v>144.17622559999998</v>
      </c>
      <c r="Q38" s="879">
        <v>848.67369159999998</v>
      </c>
      <c r="R38" s="879">
        <v>105.20035599999999</v>
      </c>
      <c r="S38" s="879">
        <v>15.435134199999998</v>
      </c>
      <c r="T38" s="879">
        <v>1285.8587775999999</v>
      </c>
      <c r="U38" s="879">
        <f t="shared" si="2"/>
        <v>17339.174413799999</v>
      </c>
      <c r="V38" s="30"/>
      <c r="W38" s="30"/>
      <c r="X38" s="30"/>
    </row>
    <row r="39" spans="1:24" s="864" customFormat="1" ht="12.6" customHeight="1">
      <c r="A39" s="607" t="s">
        <v>610</v>
      </c>
      <c r="B39" s="858">
        <v>2876.9419172999997</v>
      </c>
      <c r="C39" s="858">
        <v>2952.006222</v>
      </c>
      <c r="D39" s="858">
        <v>1451.2432242</v>
      </c>
      <c r="E39" s="858">
        <v>1281.7600554000001</v>
      </c>
      <c r="F39" s="858">
        <v>2382.0929120999999</v>
      </c>
      <c r="G39" s="858">
        <v>1.3077405</v>
      </c>
      <c r="H39" s="858">
        <v>916.55172509999989</v>
      </c>
      <c r="I39" s="858">
        <v>738.17592089999994</v>
      </c>
      <c r="J39" s="858">
        <v>256.57868610000003</v>
      </c>
      <c r="K39" s="858">
        <v>63.643371000000002</v>
      </c>
      <c r="L39" s="858">
        <v>453.43722270000001</v>
      </c>
      <c r="M39" s="858">
        <v>0</v>
      </c>
      <c r="N39" s="858">
        <v>64.689563399999997</v>
      </c>
      <c r="O39" s="858">
        <v>796.93706069999996</v>
      </c>
      <c r="P39" s="858">
        <v>80.208083999999999</v>
      </c>
      <c r="Q39" s="858">
        <v>881.7658277999999</v>
      </c>
      <c r="R39" s="858">
        <v>168.96007259999999</v>
      </c>
      <c r="S39" s="858">
        <v>22.3187712</v>
      </c>
      <c r="T39" s="858">
        <v>1048.2847847999981</v>
      </c>
      <c r="U39" s="858">
        <f t="shared" si="2"/>
        <v>16436.903161799997</v>
      </c>
      <c r="V39" s="30"/>
      <c r="W39" s="30"/>
      <c r="X39" s="30"/>
    </row>
    <row r="40" spans="1:24" s="864" customFormat="1" ht="12.6" customHeight="1">
      <c r="A40" s="610" t="s">
        <v>601</v>
      </c>
      <c r="B40" s="879">
        <v>3217.8092161</v>
      </c>
      <c r="C40" s="879">
        <v>2121.7679737999997</v>
      </c>
      <c r="D40" s="879">
        <v>1659.6617451000002</v>
      </c>
      <c r="E40" s="879">
        <v>1452.0314619000001</v>
      </c>
      <c r="F40" s="879">
        <v>2708.2130821999999</v>
      </c>
      <c r="G40" s="879">
        <v>1.2884858000000001</v>
      </c>
      <c r="H40" s="879">
        <v>1052.1406904</v>
      </c>
      <c r="I40" s="879">
        <v>518.89163859999996</v>
      </c>
      <c r="J40" s="879">
        <v>266.44045649999998</v>
      </c>
      <c r="K40" s="879">
        <v>87.432964999999996</v>
      </c>
      <c r="L40" s="879">
        <v>412.77562950000004</v>
      </c>
      <c r="M40" s="879">
        <v>0</v>
      </c>
      <c r="N40" s="879">
        <v>52.183674900000007</v>
      </c>
      <c r="O40" s="879">
        <v>741.52357789999996</v>
      </c>
      <c r="P40" s="879">
        <v>102.34258639999999</v>
      </c>
      <c r="Q40" s="879">
        <v>966.27231529999995</v>
      </c>
      <c r="R40" s="879">
        <v>109.06111949999999</v>
      </c>
      <c r="S40" s="879">
        <v>16.4742113</v>
      </c>
      <c r="T40" s="879">
        <v>1422.9484967000003</v>
      </c>
      <c r="U40" s="879">
        <f t="shared" si="2"/>
        <v>16909.259326899999</v>
      </c>
      <c r="V40" s="30"/>
      <c r="W40" s="30"/>
      <c r="X40" s="30"/>
    </row>
    <row r="41" spans="1:24" s="864" customFormat="1" ht="12.6" customHeight="1">
      <c r="A41" s="612" t="s">
        <v>2475</v>
      </c>
      <c r="B41" s="858"/>
      <c r="C41" s="858"/>
      <c r="D41" s="858"/>
      <c r="E41" s="858"/>
      <c r="F41" s="858"/>
      <c r="G41" s="858"/>
      <c r="H41" s="858"/>
      <c r="I41" s="858"/>
      <c r="J41" s="858"/>
      <c r="K41" s="858"/>
      <c r="L41" s="858"/>
      <c r="M41" s="858"/>
      <c r="N41" s="858"/>
      <c r="O41" s="858"/>
      <c r="P41" s="858"/>
      <c r="Q41" s="858"/>
      <c r="R41" s="858"/>
      <c r="S41" s="858"/>
      <c r="T41" s="858"/>
      <c r="U41" s="858"/>
      <c r="V41" s="30"/>
      <c r="W41" s="30"/>
      <c r="X41" s="30"/>
    </row>
    <row r="42" spans="1:24" s="864" customFormat="1" ht="12.6" customHeight="1">
      <c r="A42" s="610" t="s">
        <v>603</v>
      </c>
      <c r="B42" s="879">
        <v>3282.6755571999993</v>
      </c>
      <c r="C42" s="879">
        <v>2862.2482277999998</v>
      </c>
      <c r="D42" s="879">
        <v>1856.9030193999999</v>
      </c>
      <c r="E42" s="879">
        <v>1331.9791251000001</v>
      </c>
      <c r="F42" s="879">
        <v>3411.3011581999999</v>
      </c>
      <c r="G42" s="879">
        <v>1.1266475999999999</v>
      </c>
      <c r="H42" s="879">
        <v>1003.5613497000001</v>
      </c>
      <c r="I42" s="879">
        <v>734.57423519999998</v>
      </c>
      <c r="J42" s="879">
        <v>299.68826159999998</v>
      </c>
      <c r="K42" s="879">
        <v>86.939639799999995</v>
      </c>
      <c r="L42" s="879">
        <v>417.79848499999997</v>
      </c>
      <c r="M42" s="879">
        <v>9.3887299999999993E-2</v>
      </c>
      <c r="N42" s="879">
        <v>115.38749169999998</v>
      </c>
      <c r="O42" s="879">
        <v>1308.0378636</v>
      </c>
      <c r="P42" s="879">
        <v>122.71070110000001</v>
      </c>
      <c r="Q42" s="879">
        <v>1217.3427317999999</v>
      </c>
      <c r="R42" s="879">
        <v>196.78778080000001</v>
      </c>
      <c r="S42" s="879">
        <v>15.773066399999999</v>
      </c>
      <c r="T42" s="879">
        <v>1416.8532443000008</v>
      </c>
      <c r="U42" s="879">
        <f t="shared" ref="U42:U47" si="4">SUM(B42:T42)</f>
        <v>19681.7824736</v>
      </c>
      <c r="V42" s="30"/>
      <c r="W42" s="30"/>
      <c r="X42" s="30"/>
    </row>
    <row r="43" spans="1:24" s="864" customFormat="1" ht="12.6" customHeight="1">
      <c r="A43" s="607" t="s">
        <v>604</v>
      </c>
      <c r="B43" s="858">
        <v>3243.0192575999999</v>
      </c>
      <c r="C43" s="858">
        <v>2893.2921216000004</v>
      </c>
      <c r="D43" s="858">
        <v>1727.6615423999999</v>
      </c>
      <c r="E43" s="858">
        <v>1361.89536</v>
      </c>
      <c r="F43" s="858">
        <v>3404.5485888000003</v>
      </c>
      <c r="G43" s="858">
        <v>1.1388672</v>
      </c>
      <c r="H43" s="858">
        <v>1247.1544896</v>
      </c>
      <c r="I43" s="858">
        <v>486.29629440000008</v>
      </c>
      <c r="J43" s="858">
        <v>315.75093120000008</v>
      </c>
      <c r="K43" s="858">
        <v>77.158252800000014</v>
      </c>
      <c r="L43" s="858">
        <v>393.85824000000002</v>
      </c>
      <c r="M43" s="858">
        <v>9.4905600000000007E-2</v>
      </c>
      <c r="N43" s="858">
        <v>125.46520320000002</v>
      </c>
      <c r="O43" s="858">
        <v>1016.0593536</v>
      </c>
      <c r="P43" s="858">
        <v>139.70104320000002</v>
      </c>
      <c r="Q43" s="858">
        <v>1204.6367808</v>
      </c>
      <c r="R43" s="858">
        <v>142.54821120000003</v>
      </c>
      <c r="S43" s="858">
        <v>13.856217599999999</v>
      </c>
      <c r="T43" s="858">
        <v>1537.4707200000012</v>
      </c>
      <c r="U43" s="858">
        <f t="shared" si="4"/>
        <v>19331.6063808</v>
      </c>
      <c r="V43" s="30"/>
      <c r="W43" s="30"/>
      <c r="X43" s="30"/>
    </row>
    <row r="44" spans="1:24" s="864" customFormat="1" ht="12.6" customHeight="1">
      <c r="A44" s="610" t="s">
        <v>598</v>
      </c>
      <c r="B44" s="879">
        <v>2941.7033964000002</v>
      </c>
      <c r="C44" s="879">
        <v>1705.6831205999999</v>
      </c>
      <c r="D44" s="879">
        <v>1231.9088136</v>
      </c>
      <c r="E44" s="879">
        <v>1127.305566</v>
      </c>
      <c r="F44" s="879">
        <v>2655.2396579999995</v>
      </c>
      <c r="G44" s="879">
        <v>1.9123079999999999</v>
      </c>
      <c r="H44" s="879">
        <v>1088.1032519999999</v>
      </c>
      <c r="I44" s="879">
        <v>388.38975479999993</v>
      </c>
      <c r="J44" s="879">
        <v>237.89111519999997</v>
      </c>
      <c r="K44" s="879">
        <v>59.377163399999993</v>
      </c>
      <c r="L44" s="879">
        <v>322.51074419999998</v>
      </c>
      <c r="M44" s="879">
        <v>0</v>
      </c>
      <c r="N44" s="879">
        <v>52.301623799999994</v>
      </c>
      <c r="O44" s="879">
        <v>749.52912059999994</v>
      </c>
      <c r="P44" s="879">
        <v>92.268860999999987</v>
      </c>
      <c r="Q44" s="879">
        <v>827.64690240000004</v>
      </c>
      <c r="R44" s="879">
        <v>76.396704599999993</v>
      </c>
      <c r="S44" s="879">
        <v>11.282617199999999</v>
      </c>
      <c r="T44" s="879">
        <v>1151.4962621999973</v>
      </c>
      <c r="U44" s="879">
        <f t="shared" si="4"/>
        <v>14720.946983999998</v>
      </c>
      <c r="V44" s="30"/>
      <c r="W44" s="30"/>
      <c r="X44" s="30"/>
    </row>
    <row r="45" spans="1:24" s="864" customFormat="1" ht="12.6" customHeight="1">
      <c r="A45" s="607" t="s">
        <v>605</v>
      </c>
      <c r="B45" s="858">
        <v>2980.5850899999996</v>
      </c>
      <c r="C45" s="858">
        <v>1649.1282626</v>
      </c>
      <c r="D45" s="858">
        <v>1067.4069391999999</v>
      </c>
      <c r="E45" s="858">
        <v>1279.5743576</v>
      </c>
      <c r="F45" s="858">
        <v>2257.8052825999998</v>
      </c>
      <c r="G45" s="858">
        <v>1.5458463999999998</v>
      </c>
      <c r="H45" s="858">
        <v>1370.6826798</v>
      </c>
      <c r="I45" s="858">
        <v>480.08192259999998</v>
      </c>
      <c r="J45" s="858">
        <v>253.13234799999995</v>
      </c>
      <c r="K45" s="858">
        <v>61.640625200000002</v>
      </c>
      <c r="L45" s="858">
        <v>487.52130840000001</v>
      </c>
      <c r="M45" s="858">
        <v>9.661539999999999E-2</v>
      </c>
      <c r="N45" s="858">
        <v>45.602468799999997</v>
      </c>
      <c r="O45" s="858">
        <v>681.81487779999986</v>
      </c>
      <c r="P45" s="858">
        <v>77.968627800000007</v>
      </c>
      <c r="Q45" s="858">
        <v>842.29305719999991</v>
      </c>
      <c r="R45" s="858">
        <v>84.828321199999991</v>
      </c>
      <c r="S45" s="858">
        <v>13.332925199999996</v>
      </c>
      <c r="T45" s="858">
        <v>1104.0241757999997</v>
      </c>
      <c r="U45" s="858">
        <f t="shared" si="4"/>
        <v>14739.065731600002</v>
      </c>
      <c r="V45" s="30"/>
      <c r="W45" s="30"/>
      <c r="X45" s="30"/>
    </row>
    <row r="46" spans="1:24" s="864" customFormat="1" ht="12.6" customHeight="1">
      <c r="A46" s="610" t="s">
        <v>2668</v>
      </c>
      <c r="B46" s="879">
        <v>2882.0946849999996</v>
      </c>
      <c r="C46" s="879">
        <v>1803.5421303999999</v>
      </c>
      <c r="D46" s="879">
        <v>1377.841371</v>
      </c>
      <c r="E46" s="879">
        <v>1232.7848865999999</v>
      </c>
      <c r="F46" s="879">
        <v>2976.3911613999999</v>
      </c>
      <c r="G46" s="879">
        <v>2.1475388</v>
      </c>
      <c r="H46" s="879">
        <v>1183.3914941999999</v>
      </c>
      <c r="I46" s="879">
        <v>486.51515360000002</v>
      </c>
      <c r="J46" s="879">
        <v>290.50343039999996</v>
      </c>
      <c r="K46" s="879">
        <v>68.33077999999999</v>
      </c>
      <c r="L46" s="879">
        <v>310.80743359999997</v>
      </c>
      <c r="M46" s="879">
        <v>0</v>
      </c>
      <c r="N46" s="879">
        <v>75.847165799999999</v>
      </c>
      <c r="O46" s="879">
        <v>677.06041440000001</v>
      </c>
      <c r="P46" s="879">
        <v>91.368014399999993</v>
      </c>
      <c r="Q46" s="879">
        <v>834.51405459999989</v>
      </c>
      <c r="R46" s="879">
        <v>104.54609339999999</v>
      </c>
      <c r="S46" s="879">
        <v>16.301771799999997</v>
      </c>
      <c r="T46" s="879">
        <v>1157.3281823999994</v>
      </c>
      <c r="U46" s="879">
        <f t="shared" si="4"/>
        <v>15571.315761799997</v>
      </c>
      <c r="V46" s="30"/>
      <c r="W46" s="30"/>
      <c r="X46" s="30"/>
    </row>
    <row r="47" spans="1:24" s="864" customFormat="1" ht="12.6" customHeight="1" thickBot="1">
      <c r="A47" s="1588" t="s">
        <v>599</v>
      </c>
      <c r="B47" s="1671">
        <v>3028.5487217999998</v>
      </c>
      <c r="C47" s="1671">
        <v>1913.3658934</v>
      </c>
      <c r="D47" s="1671">
        <v>1491.1937732000001</v>
      </c>
      <c r="E47" s="1671">
        <v>996.36969599999998</v>
      </c>
      <c r="F47" s="1671">
        <v>4233.4838997999996</v>
      </c>
      <c r="G47" s="1671">
        <v>1.8780777999999998</v>
      </c>
      <c r="H47" s="1671">
        <v>830.90115719999994</v>
      </c>
      <c r="I47" s="1671">
        <v>429.68443139999999</v>
      </c>
      <c r="J47" s="1671">
        <v>294.95706080000002</v>
      </c>
      <c r="K47" s="1671">
        <v>85.897347799999991</v>
      </c>
      <c r="L47" s="1671">
        <v>181.28393079999998</v>
      </c>
      <c r="M47" s="1671">
        <v>0</v>
      </c>
      <c r="N47" s="1671">
        <v>102.40466319999999</v>
      </c>
      <c r="O47" s="1671">
        <v>778.41382499999997</v>
      </c>
      <c r="P47" s="1671">
        <v>91.333888799999997</v>
      </c>
      <c r="Q47" s="1671">
        <v>940.02736200000004</v>
      </c>
      <c r="R47" s="1671">
        <v>131.959677</v>
      </c>
      <c r="S47" s="1671">
        <v>14.925776199999998</v>
      </c>
      <c r="T47" s="1671">
        <v>1254.2594317999997</v>
      </c>
      <c r="U47" s="1671">
        <f t="shared" si="4"/>
        <v>16800.888614</v>
      </c>
      <c r="V47" s="30"/>
      <c r="W47" s="30"/>
      <c r="X47" s="30"/>
    </row>
    <row r="48" spans="1:24" s="864" customFormat="1" ht="12" customHeight="1">
      <c r="A48" s="56" t="s">
        <v>791</v>
      </c>
      <c r="B48" s="9" t="s">
        <v>1454</v>
      </c>
      <c r="C48" s="190"/>
      <c r="D48" s="190"/>
      <c r="E48" s="190"/>
      <c r="F48" s="190"/>
      <c r="G48" s="190"/>
      <c r="H48" s="190"/>
      <c r="I48" s="190"/>
      <c r="J48" s="190"/>
      <c r="K48" s="709"/>
      <c r="L48" s="651"/>
      <c r="M48" s="651"/>
      <c r="N48" s="651"/>
      <c r="O48" s="651"/>
      <c r="P48" s="651"/>
      <c r="Q48" s="651"/>
      <c r="R48" s="651"/>
      <c r="S48" s="651"/>
      <c r="T48" s="651"/>
      <c r="U48" s="651"/>
      <c r="V48" s="30"/>
      <c r="W48" s="30"/>
      <c r="X48" s="30"/>
    </row>
    <row r="49" spans="1:25" s="9" customFormat="1" ht="11.1" customHeight="1">
      <c r="B49" s="68" t="s">
        <v>2380</v>
      </c>
      <c r="C49" s="57"/>
      <c r="D49" s="7"/>
      <c r="E49" s="7"/>
      <c r="F49" s="7"/>
      <c r="G49" s="7"/>
      <c r="H49" s="57"/>
      <c r="I49" s="7"/>
      <c r="J49" s="7"/>
      <c r="L49" s="167"/>
      <c r="M49" s="781"/>
      <c r="N49" s="102"/>
      <c r="O49" s="16"/>
      <c r="P49" s="190"/>
      <c r="Q49" s="190"/>
      <c r="R49" s="192"/>
      <c r="S49" s="192"/>
      <c r="T49" s="16"/>
    </row>
    <row r="50" spans="1:25" s="9" customFormat="1"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012"/>
    </row>
    <row r="51" spans="1:25" s="9" customFormat="1">
      <c r="B51" s="1651"/>
      <c r="C51" s="1651"/>
      <c r="D51" s="1651"/>
      <c r="E51" s="1651"/>
      <c r="F51" s="1651"/>
      <c r="G51" s="1651"/>
      <c r="H51" s="1651"/>
      <c r="I51" s="1651"/>
      <c r="J51" s="1651"/>
      <c r="K51" s="1651"/>
      <c r="L51" s="1651"/>
      <c r="M51" s="1651"/>
      <c r="N51" s="1651"/>
      <c r="O51" s="1651"/>
      <c r="P51" s="1651"/>
      <c r="Q51" s="1651"/>
      <c r="R51" s="1651"/>
      <c r="S51" s="1651"/>
      <c r="T51" s="1651"/>
      <c r="U51" s="1012"/>
    </row>
    <row r="52" spans="1:25" s="9" customFormat="1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012"/>
    </row>
    <row r="53" spans="1:25" s="9" customFormat="1"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012"/>
    </row>
    <row r="54" spans="1:25" s="9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2"/>
    </row>
    <row r="55" spans="1:25" s="9" customFormat="1">
      <c r="U55" s="269"/>
      <c r="V55" s="171"/>
      <c r="W55" s="171"/>
    </row>
    <row r="56" spans="1:25" s="9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269"/>
      <c r="V56" s="171"/>
      <c r="W56" s="171"/>
    </row>
    <row r="57" spans="1:25" s="175" customFormat="1">
      <c r="A57" s="8"/>
      <c r="B57" s="1179"/>
      <c r="C57" s="1179"/>
      <c r="D57" s="1179"/>
      <c r="E57" s="1179"/>
      <c r="F57" s="1179"/>
      <c r="G57" s="1179"/>
      <c r="H57" s="1179"/>
      <c r="I57" s="1179"/>
      <c r="J57" s="1179"/>
      <c r="K57" s="1179"/>
      <c r="L57" s="1179"/>
      <c r="M57" s="1179"/>
      <c r="N57" s="1179"/>
      <c r="O57" s="1179"/>
      <c r="P57" s="1179"/>
      <c r="Q57" s="1179"/>
      <c r="R57" s="1179"/>
      <c r="S57" s="1179"/>
      <c r="T57" s="1179"/>
      <c r="U57" s="171"/>
      <c r="V57" s="171"/>
      <c r="W57" s="171"/>
      <c r="X57" s="171"/>
      <c r="Y57" s="171"/>
    </row>
    <row r="58" spans="1:25" s="9" customFormat="1">
      <c r="A58" s="8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</row>
    <row r="59" spans="1:25" s="9" customFormat="1">
      <c r="A59" s="8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</row>
    <row r="60" spans="1:25" s="9" customFormat="1">
      <c r="A60" s="175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</row>
    <row r="61" spans="1:25" s="9" customFormat="1">
      <c r="A61" s="175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</row>
    <row r="62" spans="1:25" s="9" customFormat="1">
      <c r="A62" s="8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</row>
    <row r="63" spans="1:25" s="9" customFormat="1"/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45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2"/>
  <sheetViews>
    <sheetView zoomScale="160" zoomScaleNormal="160" workbookViewId="0">
      <pane xSplit="1" ySplit="6" topLeftCell="B42" activePane="bottomRight" state="frozen"/>
      <selection activeCell="L47" sqref="L47"/>
      <selection pane="topRight" activeCell="L47" sqref="L47"/>
      <selection pane="bottomLeft" activeCell="L47" sqref="L47"/>
      <selection pane="bottomRight" activeCell="A7" sqref="A7:XFD50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04" t="s">
        <v>352</v>
      </c>
      <c r="G1" s="2104"/>
      <c r="H1" s="138" t="s">
        <v>350</v>
      </c>
      <c r="M1" s="2104" t="s">
        <v>1210</v>
      </c>
      <c r="N1" s="2104"/>
      <c r="O1" s="2104"/>
      <c r="U1" s="2104" t="s">
        <v>352</v>
      </c>
      <c r="V1" s="2104"/>
      <c r="W1" s="138" t="s">
        <v>350</v>
      </c>
      <c r="AB1" s="2104" t="s">
        <v>1210</v>
      </c>
      <c r="AC1" s="2104"/>
      <c r="AD1" s="2104"/>
      <c r="AJ1" s="2104" t="s">
        <v>352</v>
      </c>
      <c r="AK1" s="2104"/>
      <c r="AL1" s="138" t="s">
        <v>350</v>
      </c>
      <c r="AQ1" s="2104" t="s">
        <v>1210</v>
      </c>
      <c r="AR1" s="2104"/>
      <c r="AS1" s="2104"/>
      <c r="AY1" s="2104" t="s">
        <v>352</v>
      </c>
      <c r="AZ1" s="2104"/>
      <c r="BA1" s="138" t="s">
        <v>350</v>
      </c>
      <c r="BF1" s="2104" t="s">
        <v>1210</v>
      </c>
      <c r="BG1" s="2104"/>
      <c r="BH1" s="2104"/>
      <c r="BN1" s="2104" t="s">
        <v>352</v>
      </c>
      <c r="BO1" s="2104"/>
      <c r="BP1" s="138" t="s">
        <v>350</v>
      </c>
      <c r="BU1" s="2104" t="s">
        <v>1211</v>
      </c>
      <c r="BV1" s="2104"/>
      <c r="BW1" s="2104"/>
    </row>
    <row r="2" spans="1:75" s="64" customFormat="1" ht="12.75" customHeight="1">
      <c r="G2" s="1106" t="s">
        <v>349</v>
      </c>
      <c r="H2" s="11" t="s">
        <v>351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06" t="s">
        <v>349</v>
      </c>
      <c r="W2" s="11" t="s">
        <v>351</v>
      </c>
      <c r="AC2" s="2318"/>
      <c r="AD2" s="2318"/>
      <c r="AK2" s="1106" t="s">
        <v>349</v>
      </c>
      <c r="AL2" s="11" t="s">
        <v>351</v>
      </c>
      <c r="AZ2" s="1106" t="s">
        <v>349</v>
      </c>
      <c r="BA2" s="11" t="s">
        <v>351</v>
      </c>
      <c r="BO2" s="1106" t="s">
        <v>349</v>
      </c>
      <c r="BP2" s="11" t="s">
        <v>351</v>
      </c>
    </row>
    <row r="3" spans="1:75" s="86" customFormat="1" ht="11.25" customHeight="1">
      <c r="A3" s="2120" t="s">
        <v>524</v>
      </c>
      <c r="B3" s="2120" t="s">
        <v>658</v>
      </c>
      <c r="C3" s="2120"/>
      <c r="D3" s="2120" t="s">
        <v>558</v>
      </c>
      <c r="E3" s="2120"/>
      <c r="F3" s="2120" t="s">
        <v>559</v>
      </c>
      <c r="G3" s="2120"/>
      <c r="H3" s="2120" t="s">
        <v>560</v>
      </c>
      <c r="I3" s="2120"/>
      <c r="J3" s="2120" t="s">
        <v>56</v>
      </c>
      <c r="K3" s="2120"/>
      <c r="L3" s="2120" t="s">
        <v>561</v>
      </c>
      <c r="M3" s="2120"/>
      <c r="N3" s="2120" t="s">
        <v>1498</v>
      </c>
      <c r="O3" s="2120"/>
      <c r="P3" s="2120" t="s">
        <v>524</v>
      </c>
      <c r="Q3" s="1935" t="s">
        <v>58</v>
      </c>
      <c r="R3" s="1935"/>
      <c r="S3" s="2120" t="s">
        <v>562</v>
      </c>
      <c r="T3" s="2120"/>
      <c r="U3" s="2120" t="s">
        <v>563</v>
      </c>
      <c r="V3" s="2120"/>
      <c r="W3" s="2120" t="s">
        <v>251</v>
      </c>
      <c r="X3" s="2120"/>
      <c r="Y3" s="2120" t="s">
        <v>59</v>
      </c>
      <c r="Z3" s="2120"/>
      <c r="AA3" s="2120" t="s">
        <v>564</v>
      </c>
      <c r="AB3" s="2120"/>
      <c r="AC3" s="2120" t="s">
        <v>659</v>
      </c>
      <c r="AD3" s="2120"/>
      <c r="AE3" s="2120" t="s">
        <v>524</v>
      </c>
      <c r="AF3" s="2120" t="s">
        <v>252</v>
      </c>
      <c r="AG3" s="2120"/>
      <c r="AH3" s="2120" t="s">
        <v>565</v>
      </c>
      <c r="AI3" s="2120"/>
      <c r="AJ3" s="2120" t="s">
        <v>566</v>
      </c>
      <c r="AK3" s="2120"/>
      <c r="AL3" s="2120" t="s">
        <v>567</v>
      </c>
      <c r="AM3" s="2120"/>
      <c r="AN3" s="2120" t="s">
        <v>568</v>
      </c>
      <c r="AO3" s="2120"/>
      <c r="AP3" s="2120" t="s">
        <v>569</v>
      </c>
      <c r="AQ3" s="2120"/>
      <c r="AR3" s="2120" t="s">
        <v>570</v>
      </c>
      <c r="AS3" s="2120"/>
      <c r="AT3" s="2120" t="s">
        <v>524</v>
      </c>
      <c r="AU3" s="2120" t="s">
        <v>571</v>
      </c>
      <c r="AV3" s="2120"/>
      <c r="AW3" s="2120" t="s">
        <v>572</v>
      </c>
      <c r="AX3" s="2120"/>
      <c r="AY3" s="2120" t="s">
        <v>573</v>
      </c>
      <c r="AZ3" s="2120"/>
      <c r="BA3" s="2120" t="s">
        <v>253</v>
      </c>
      <c r="BB3" s="2120"/>
      <c r="BC3" s="2120" t="s">
        <v>574</v>
      </c>
      <c r="BD3" s="2120"/>
      <c r="BE3" s="2120" t="s">
        <v>575</v>
      </c>
      <c r="BF3" s="2120"/>
      <c r="BG3" s="2120" t="s">
        <v>418</v>
      </c>
      <c r="BH3" s="2120"/>
      <c r="BI3" s="2120" t="s">
        <v>524</v>
      </c>
      <c r="BJ3" s="2120" t="s">
        <v>715</v>
      </c>
      <c r="BK3" s="2120"/>
      <c r="BL3" s="2120" t="s">
        <v>660</v>
      </c>
      <c r="BM3" s="2120"/>
      <c r="BN3" s="2120" t="s">
        <v>576</v>
      </c>
      <c r="BO3" s="2120"/>
      <c r="BP3" s="2120" t="s">
        <v>1727</v>
      </c>
      <c r="BQ3" s="2120"/>
      <c r="BR3" s="2120" t="s">
        <v>577</v>
      </c>
      <c r="BS3" s="2120"/>
      <c r="BT3" s="2120" t="s">
        <v>578</v>
      </c>
      <c r="BU3" s="2120"/>
      <c r="BV3" s="2120" t="s">
        <v>1251</v>
      </c>
      <c r="BW3" s="2120"/>
    </row>
    <row r="4" spans="1:75" s="1111" customFormat="1" ht="20.25" customHeight="1">
      <c r="A4" s="2120"/>
      <c r="B4" s="1950" t="s">
        <v>1115</v>
      </c>
      <c r="C4" s="1950" t="s">
        <v>1116</v>
      </c>
      <c r="D4" s="1950" t="s">
        <v>1115</v>
      </c>
      <c r="E4" s="1950" t="s">
        <v>1116</v>
      </c>
      <c r="F4" s="1950" t="s">
        <v>1115</v>
      </c>
      <c r="G4" s="1950" t="s">
        <v>1117</v>
      </c>
      <c r="H4" s="1950" t="s">
        <v>1115</v>
      </c>
      <c r="I4" s="1950" t="s">
        <v>1116</v>
      </c>
      <c r="J4" s="1950" t="s">
        <v>1115</v>
      </c>
      <c r="K4" s="1950" t="s">
        <v>1116</v>
      </c>
      <c r="L4" s="1950" t="s">
        <v>1115</v>
      </c>
      <c r="M4" s="1950" t="s">
        <v>1116</v>
      </c>
      <c r="N4" s="1950" t="s">
        <v>1115</v>
      </c>
      <c r="O4" s="1950" t="s">
        <v>1116</v>
      </c>
      <c r="P4" s="2120"/>
      <c r="Q4" s="1950" t="s">
        <v>1115</v>
      </c>
      <c r="R4" s="1950" t="s">
        <v>1116</v>
      </c>
      <c r="S4" s="1950" t="s">
        <v>1115</v>
      </c>
      <c r="T4" s="1950" t="s">
        <v>1116</v>
      </c>
      <c r="U4" s="1950" t="s">
        <v>1115</v>
      </c>
      <c r="V4" s="1950" t="s">
        <v>1117</v>
      </c>
      <c r="W4" s="1950" t="s">
        <v>1115</v>
      </c>
      <c r="X4" s="1950" t="s">
        <v>1116</v>
      </c>
      <c r="Y4" s="1950" t="s">
        <v>1115</v>
      </c>
      <c r="Z4" s="1950" t="s">
        <v>1116</v>
      </c>
      <c r="AA4" s="1950" t="s">
        <v>1115</v>
      </c>
      <c r="AB4" s="1950" t="s">
        <v>1116</v>
      </c>
      <c r="AC4" s="1950" t="s">
        <v>1115</v>
      </c>
      <c r="AD4" s="1950" t="s">
        <v>1116</v>
      </c>
      <c r="AE4" s="2120"/>
      <c r="AF4" s="1950" t="s">
        <v>1115</v>
      </c>
      <c r="AG4" s="1950" t="s">
        <v>1116</v>
      </c>
      <c r="AH4" s="1950" t="s">
        <v>1115</v>
      </c>
      <c r="AI4" s="1950" t="s">
        <v>1116</v>
      </c>
      <c r="AJ4" s="1950" t="s">
        <v>1115</v>
      </c>
      <c r="AK4" s="1950" t="s">
        <v>1117</v>
      </c>
      <c r="AL4" s="1950" t="s">
        <v>1115</v>
      </c>
      <c r="AM4" s="1950" t="s">
        <v>1116</v>
      </c>
      <c r="AN4" s="1950" t="s">
        <v>1115</v>
      </c>
      <c r="AO4" s="1950" t="s">
        <v>1116</v>
      </c>
      <c r="AP4" s="1950" t="s">
        <v>1115</v>
      </c>
      <c r="AQ4" s="1950" t="s">
        <v>1116</v>
      </c>
      <c r="AR4" s="1950" t="s">
        <v>1115</v>
      </c>
      <c r="AS4" s="1950" t="s">
        <v>1116</v>
      </c>
      <c r="AT4" s="2120"/>
      <c r="AU4" s="1950" t="s">
        <v>1115</v>
      </c>
      <c r="AV4" s="1950" t="s">
        <v>1116</v>
      </c>
      <c r="AW4" s="1950" t="s">
        <v>1115</v>
      </c>
      <c r="AX4" s="1950" t="s">
        <v>1116</v>
      </c>
      <c r="AY4" s="1950" t="s">
        <v>1115</v>
      </c>
      <c r="AZ4" s="1950" t="s">
        <v>1117</v>
      </c>
      <c r="BA4" s="1950" t="s">
        <v>1115</v>
      </c>
      <c r="BB4" s="1950" t="s">
        <v>1116</v>
      </c>
      <c r="BC4" s="1950" t="s">
        <v>1115</v>
      </c>
      <c r="BD4" s="1950" t="s">
        <v>1116</v>
      </c>
      <c r="BE4" s="1950" t="s">
        <v>1115</v>
      </c>
      <c r="BF4" s="1950" t="s">
        <v>1116</v>
      </c>
      <c r="BG4" s="1950" t="s">
        <v>1115</v>
      </c>
      <c r="BH4" s="1950" t="s">
        <v>1116</v>
      </c>
      <c r="BI4" s="2120"/>
      <c r="BJ4" s="1950" t="s">
        <v>1115</v>
      </c>
      <c r="BK4" s="1950" t="s">
        <v>1116</v>
      </c>
      <c r="BL4" s="1950" t="s">
        <v>1115</v>
      </c>
      <c r="BM4" s="1950" t="s">
        <v>1116</v>
      </c>
      <c r="BN4" s="1950" t="s">
        <v>1115</v>
      </c>
      <c r="BO4" s="1950" t="s">
        <v>1117</v>
      </c>
      <c r="BP4" s="1950" t="s">
        <v>1115</v>
      </c>
      <c r="BQ4" s="1950" t="s">
        <v>1116</v>
      </c>
      <c r="BR4" s="1950" t="s">
        <v>1115</v>
      </c>
      <c r="BS4" s="1950" t="s">
        <v>1116</v>
      </c>
      <c r="BT4" s="1950" t="s">
        <v>1115</v>
      </c>
      <c r="BU4" s="1950" t="s">
        <v>1116</v>
      </c>
      <c r="BV4" s="1950" t="s">
        <v>1115</v>
      </c>
      <c r="BW4" s="1950" t="s">
        <v>1116</v>
      </c>
    </row>
    <row r="5" spans="1:75" s="1111" customFormat="1" ht="15.75" customHeight="1">
      <c r="A5" s="2120"/>
      <c r="B5" s="1952"/>
      <c r="C5" s="1952"/>
      <c r="D5" s="1952"/>
      <c r="E5" s="1952"/>
      <c r="F5" s="1952"/>
      <c r="G5" s="1952"/>
      <c r="H5" s="1952"/>
      <c r="I5" s="1952"/>
      <c r="J5" s="1952"/>
      <c r="K5" s="1952"/>
      <c r="L5" s="1952"/>
      <c r="M5" s="1952"/>
      <c r="N5" s="1952"/>
      <c r="O5" s="1952"/>
      <c r="P5" s="2120"/>
      <c r="Q5" s="1952"/>
      <c r="R5" s="1952"/>
      <c r="S5" s="1952"/>
      <c r="T5" s="1952"/>
      <c r="U5" s="1952"/>
      <c r="V5" s="1952"/>
      <c r="W5" s="1952"/>
      <c r="X5" s="1952"/>
      <c r="Y5" s="1952"/>
      <c r="Z5" s="1952"/>
      <c r="AA5" s="1952"/>
      <c r="AB5" s="1952"/>
      <c r="AC5" s="1952"/>
      <c r="AD5" s="1952"/>
      <c r="AE5" s="2120"/>
      <c r="AF5" s="1952"/>
      <c r="AG5" s="1952"/>
      <c r="AH5" s="1952"/>
      <c r="AI5" s="1952"/>
      <c r="AJ5" s="1952"/>
      <c r="AK5" s="1952"/>
      <c r="AL5" s="1952"/>
      <c r="AM5" s="1952"/>
      <c r="AN5" s="1952"/>
      <c r="AO5" s="1952"/>
      <c r="AP5" s="1952"/>
      <c r="AQ5" s="1952"/>
      <c r="AR5" s="1952"/>
      <c r="AS5" s="1952"/>
      <c r="AT5" s="2120"/>
      <c r="AU5" s="1952"/>
      <c r="AV5" s="1952"/>
      <c r="AW5" s="1952"/>
      <c r="AX5" s="1952"/>
      <c r="AY5" s="1952"/>
      <c r="AZ5" s="1952"/>
      <c r="BA5" s="1952"/>
      <c r="BB5" s="1952"/>
      <c r="BC5" s="1952"/>
      <c r="BD5" s="1952"/>
      <c r="BE5" s="1952"/>
      <c r="BF5" s="1952"/>
      <c r="BG5" s="1952"/>
      <c r="BH5" s="1952"/>
      <c r="BI5" s="2120"/>
      <c r="BJ5" s="1952"/>
      <c r="BK5" s="1952"/>
      <c r="BL5" s="1952"/>
      <c r="BM5" s="1952"/>
      <c r="BN5" s="1952"/>
      <c r="BO5" s="1952"/>
      <c r="BP5" s="1952"/>
      <c r="BQ5" s="1952"/>
      <c r="BR5" s="1952"/>
      <c r="BS5" s="1952"/>
      <c r="BT5" s="1952"/>
      <c r="BU5" s="1952"/>
      <c r="BV5" s="1952"/>
      <c r="BW5" s="1952"/>
    </row>
    <row r="6" spans="1:75" s="139" customFormat="1" ht="12">
      <c r="A6" s="2120"/>
      <c r="B6" s="1102">
        <v>1</v>
      </c>
      <c r="C6" s="1102">
        <v>2</v>
      </c>
      <c r="D6" s="1102">
        <v>3</v>
      </c>
      <c r="E6" s="1102">
        <v>4</v>
      </c>
      <c r="F6" s="1102">
        <v>5</v>
      </c>
      <c r="G6" s="1102">
        <v>6</v>
      </c>
      <c r="H6" s="1102">
        <v>7</v>
      </c>
      <c r="I6" s="1102">
        <v>8</v>
      </c>
      <c r="J6" s="1102">
        <v>9</v>
      </c>
      <c r="K6" s="1102">
        <v>10</v>
      </c>
      <c r="L6" s="1102">
        <v>11</v>
      </c>
      <c r="M6" s="1102">
        <v>12</v>
      </c>
      <c r="N6" s="1102">
        <v>13</v>
      </c>
      <c r="O6" s="1102">
        <v>14</v>
      </c>
      <c r="P6" s="2120"/>
      <c r="Q6" s="1102">
        <v>15</v>
      </c>
      <c r="R6" s="1102">
        <v>16</v>
      </c>
      <c r="S6" s="1102">
        <v>17</v>
      </c>
      <c r="T6" s="1102">
        <v>18</v>
      </c>
      <c r="U6" s="1102">
        <v>19</v>
      </c>
      <c r="V6" s="1102">
        <v>20</v>
      </c>
      <c r="W6" s="1102">
        <v>21</v>
      </c>
      <c r="X6" s="1102">
        <v>22</v>
      </c>
      <c r="Y6" s="1102">
        <v>23</v>
      </c>
      <c r="Z6" s="1102">
        <v>24</v>
      </c>
      <c r="AA6" s="1102">
        <v>25</v>
      </c>
      <c r="AB6" s="1102">
        <v>26</v>
      </c>
      <c r="AC6" s="1102">
        <v>27</v>
      </c>
      <c r="AD6" s="1102">
        <v>28</v>
      </c>
      <c r="AE6" s="2120"/>
      <c r="AF6" s="1102">
        <v>29</v>
      </c>
      <c r="AG6" s="1102">
        <v>30</v>
      </c>
      <c r="AH6" s="1102">
        <v>31</v>
      </c>
      <c r="AI6" s="1102">
        <v>32</v>
      </c>
      <c r="AJ6" s="1102">
        <v>33</v>
      </c>
      <c r="AK6" s="1102">
        <v>34</v>
      </c>
      <c r="AL6" s="1102">
        <v>35</v>
      </c>
      <c r="AM6" s="1102">
        <v>36</v>
      </c>
      <c r="AN6" s="1102">
        <v>37</v>
      </c>
      <c r="AO6" s="1102">
        <v>38</v>
      </c>
      <c r="AP6" s="1102">
        <v>39</v>
      </c>
      <c r="AQ6" s="1102">
        <v>40</v>
      </c>
      <c r="AR6" s="1102">
        <v>41</v>
      </c>
      <c r="AS6" s="1102">
        <v>42</v>
      </c>
      <c r="AT6" s="2120"/>
      <c r="AU6" s="1102">
        <v>43</v>
      </c>
      <c r="AV6" s="1102">
        <v>44</v>
      </c>
      <c r="AW6" s="1102">
        <v>45</v>
      </c>
      <c r="AX6" s="1102">
        <v>46</v>
      </c>
      <c r="AY6" s="1102">
        <v>47</v>
      </c>
      <c r="AZ6" s="1102">
        <v>48</v>
      </c>
      <c r="BA6" s="1102">
        <v>49</v>
      </c>
      <c r="BB6" s="1102">
        <v>50</v>
      </c>
      <c r="BC6" s="1102">
        <v>51</v>
      </c>
      <c r="BD6" s="1102">
        <v>52</v>
      </c>
      <c r="BE6" s="1102">
        <v>53</v>
      </c>
      <c r="BF6" s="1102">
        <v>54</v>
      </c>
      <c r="BG6" s="1102">
        <v>55</v>
      </c>
      <c r="BH6" s="1102">
        <v>56</v>
      </c>
      <c r="BI6" s="2120"/>
      <c r="BJ6" s="1102">
        <v>57</v>
      </c>
      <c r="BK6" s="1102">
        <v>58</v>
      </c>
      <c r="BL6" s="1102">
        <v>59</v>
      </c>
      <c r="BM6" s="1102">
        <v>60</v>
      </c>
      <c r="BN6" s="1102">
        <v>61</v>
      </c>
      <c r="BO6" s="1102">
        <v>62</v>
      </c>
      <c r="BP6" s="1102">
        <v>63</v>
      </c>
      <c r="BQ6" s="1102">
        <v>64</v>
      </c>
      <c r="BR6" s="1102">
        <v>65</v>
      </c>
      <c r="BS6" s="1102">
        <v>66</v>
      </c>
      <c r="BT6" s="1102">
        <v>67</v>
      </c>
      <c r="BU6" s="1102">
        <v>68</v>
      </c>
      <c r="BV6" s="1102">
        <v>69</v>
      </c>
      <c r="BW6" s="1102">
        <v>70</v>
      </c>
    </row>
    <row r="7" spans="1:75" ht="11.25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25" customHeight="1">
      <c r="A8" s="363" t="s">
        <v>198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198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198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198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198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1.25" customHeight="1">
      <c r="A9" s="268" t="s">
        <v>789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789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789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789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789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25" customHeight="1">
      <c r="A10" s="363" t="s">
        <v>905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905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905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905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905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1.25" customHeight="1">
      <c r="A11" s="660" t="s">
        <v>1104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1104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1104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1104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1104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1.25" customHeight="1">
      <c r="A12" s="545" t="s">
        <v>1163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1163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1163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1163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1163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1.25" customHeight="1">
      <c r="A13" s="550" t="s">
        <v>1295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1295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1295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1295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1295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1.25" customHeight="1">
      <c r="A14" s="545" t="s">
        <v>1328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1328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1328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1328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1328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1.25" customHeight="1">
      <c r="A15" s="550" t="s">
        <v>1467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1467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1467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1467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1467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1.25" customHeight="1">
      <c r="A16" s="633" t="s">
        <v>1596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1596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1596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1596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1596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1.25" customHeight="1">
      <c r="A17" s="618" t="s">
        <v>1691</v>
      </c>
      <c r="B17" s="755">
        <v>56.938333333333333</v>
      </c>
      <c r="C17" s="672">
        <v>58.28</v>
      </c>
      <c r="D17" s="755">
        <v>84.781146000000007</v>
      </c>
      <c r="E17" s="672">
        <v>84.9</v>
      </c>
      <c r="F17" s="755">
        <v>224.80451299999999</v>
      </c>
      <c r="G17" s="672">
        <v>224.84</v>
      </c>
      <c r="H17" s="672">
        <v>63.281075000000001</v>
      </c>
      <c r="I17" s="672">
        <v>62.16</v>
      </c>
      <c r="J17" s="755">
        <v>12.082319</v>
      </c>
      <c r="K17" s="672">
        <v>11.99</v>
      </c>
      <c r="L17" s="755">
        <v>12.557464</v>
      </c>
      <c r="M17" s="672">
        <v>12.81</v>
      </c>
      <c r="N17" s="755">
        <v>93.728005999999993</v>
      </c>
      <c r="O17" s="672">
        <v>95.44</v>
      </c>
      <c r="P17" s="618" t="s">
        <v>1691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1691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1691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1691</v>
      </c>
      <c r="BJ17" s="755">
        <v>86.748475999999997</v>
      </c>
      <c r="BK17" s="672">
        <v>89.24</v>
      </c>
      <c r="BL17" s="755">
        <v>0.180815</v>
      </c>
      <c r="BM17" s="672">
        <v>0.17</v>
      </c>
      <c r="BN17" s="755">
        <v>116.43907</v>
      </c>
      <c r="BO17" s="672">
        <v>117.14</v>
      </c>
      <c r="BP17" s="755">
        <v>2.7366299999999999</v>
      </c>
      <c r="BQ17" s="672">
        <v>2.75</v>
      </c>
      <c r="BR17" s="755">
        <v>23.081669999999999</v>
      </c>
      <c r="BS17" s="672">
        <v>23.11</v>
      </c>
      <c r="BT17" s="755">
        <v>84.781146000000007</v>
      </c>
      <c r="BU17" s="672">
        <v>84.9</v>
      </c>
      <c r="BV17" s="755">
        <v>106.809804</v>
      </c>
      <c r="BW17" s="672">
        <v>104.41</v>
      </c>
    </row>
    <row r="18" spans="1:75" s="188" customFormat="1" ht="11.25" customHeight="1">
      <c r="A18" s="670" t="s">
        <v>1760</v>
      </c>
      <c r="B18" s="1136">
        <v>63.341738999999997</v>
      </c>
      <c r="C18" s="1136">
        <f>C30</f>
        <v>63.71</v>
      </c>
      <c r="D18" s="1136">
        <v>84.806312000000005</v>
      </c>
      <c r="E18" s="1137">
        <f>E30</f>
        <v>84.81</v>
      </c>
      <c r="F18" s="1136">
        <v>224.924701</v>
      </c>
      <c r="G18" s="1137">
        <f>G30</f>
        <v>224.97</v>
      </c>
      <c r="H18" s="1136">
        <v>66.165549999999996</v>
      </c>
      <c r="I18" s="1136">
        <f t="shared" ref="I18" si="0">I30</f>
        <v>68.39</v>
      </c>
      <c r="J18" s="1136">
        <v>12.812291999999999</v>
      </c>
      <c r="K18" s="1136">
        <f>K30</f>
        <v>13.13</v>
      </c>
      <c r="L18" s="1136">
        <v>13.594389</v>
      </c>
      <c r="M18" s="1136">
        <f>M30</f>
        <v>13.57</v>
      </c>
      <c r="N18" s="1136">
        <v>101.153004</v>
      </c>
      <c r="O18" s="1136">
        <f>O30</f>
        <v>100.9</v>
      </c>
      <c r="P18" s="670" t="s">
        <v>1760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1760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1760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1760</v>
      </c>
      <c r="BJ18" s="1136">
        <v>93.197113000000002</v>
      </c>
      <c r="BK18" s="598">
        <f>BK30</f>
        <v>92.11</v>
      </c>
      <c r="BL18" s="1136">
        <v>6.0878000000000002E-2</v>
      </c>
      <c r="BM18" s="598">
        <f>BM30</f>
        <v>0.03</v>
      </c>
      <c r="BN18" s="1136">
        <v>120.843248</v>
      </c>
      <c r="BO18" s="598">
        <f>BO30</f>
        <v>121.01</v>
      </c>
      <c r="BP18" s="1136">
        <v>2.7461980000000001</v>
      </c>
      <c r="BQ18" s="598">
        <f>BQ30</f>
        <v>2.65</v>
      </c>
      <c r="BR18" s="1136">
        <v>23.088276</v>
      </c>
      <c r="BS18" s="598">
        <f>BS30</f>
        <v>23.09</v>
      </c>
      <c r="BT18" s="1136">
        <v>84.806312000000005</v>
      </c>
      <c r="BU18" s="598">
        <f>BU30</f>
        <v>84.81</v>
      </c>
      <c r="BV18" s="1136">
        <v>114.20348300000001</v>
      </c>
      <c r="BW18" s="598">
        <f>BW30</f>
        <v>117.36</v>
      </c>
    </row>
    <row r="19" spans="1:75" s="188" customFormat="1" ht="11.25" customHeight="1">
      <c r="A19" s="607" t="s">
        <v>603</v>
      </c>
      <c r="B19" s="654">
        <v>59.57</v>
      </c>
      <c r="C19" s="654">
        <v>60.95</v>
      </c>
      <c r="D19" s="654">
        <v>84.81</v>
      </c>
      <c r="E19" s="654">
        <v>84.8</v>
      </c>
      <c r="F19" s="842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603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603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603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603</v>
      </c>
      <c r="BJ19" s="654">
        <v>90.68</v>
      </c>
      <c r="BK19" s="842">
        <v>92.92</v>
      </c>
      <c r="BL19" s="842">
        <v>7.0000000000000007E-2</v>
      </c>
      <c r="BM19" s="842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1.25" customHeight="1">
      <c r="A20" s="610" t="s">
        <v>604</v>
      </c>
      <c r="B20" s="653">
        <v>61</v>
      </c>
      <c r="C20" s="653">
        <v>62.49</v>
      </c>
      <c r="D20" s="653">
        <v>84.84</v>
      </c>
      <c r="E20" s="653">
        <v>84.83</v>
      </c>
      <c r="F20" s="814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604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604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604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604</v>
      </c>
      <c r="BJ20" s="653">
        <v>93.16</v>
      </c>
      <c r="BK20" s="814">
        <v>93.83</v>
      </c>
      <c r="BL20" s="814">
        <v>7.0000000000000007E-2</v>
      </c>
      <c r="BM20" s="814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1.25" customHeight="1">
      <c r="A21" s="607" t="s">
        <v>598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598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598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598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598</v>
      </c>
      <c r="BJ21" s="654">
        <v>92.73</v>
      </c>
      <c r="BK21" s="842">
        <v>92.28</v>
      </c>
      <c r="BL21" s="842">
        <v>7.0000000000000007E-2</v>
      </c>
      <c r="BM21" s="842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1.25" customHeight="1">
      <c r="A22" s="610" t="s">
        <v>605</v>
      </c>
      <c r="B22" s="653">
        <v>60.51</v>
      </c>
      <c r="C22" s="653">
        <v>59.74</v>
      </c>
      <c r="D22" s="653">
        <v>84.8</v>
      </c>
      <c r="E22" s="653">
        <v>84.8</v>
      </c>
      <c r="F22" s="814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605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605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605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605</v>
      </c>
      <c r="BJ22" s="653">
        <v>92.92</v>
      </c>
      <c r="BK22" s="814">
        <v>93.13</v>
      </c>
      <c r="BL22" s="814">
        <v>7.0000000000000007E-2</v>
      </c>
      <c r="BM22" s="814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1.25" customHeight="1">
      <c r="A23" s="607" t="s">
        <v>606</v>
      </c>
      <c r="B23" s="654">
        <v>61.58</v>
      </c>
      <c r="C23" s="654">
        <v>62.62</v>
      </c>
      <c r="D23" s="654">
        <v>84.8</v>
      </c>
      <c r="E23" s="654">
        <v>84.8</v>
      </c>
      <c r="F23" s="842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606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606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606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606</v>
      </c>
      <c r="BJ23" s="654">
        <v>93.04</v>
      </c>
      <c r="BK23" s="842">
        <v>93.77</v>
      </c>
      <c r="BL23" s="842">
        <v>7.0000000000000007E-2</v>
      </c>
      <c r="BM23" s="842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1.25" customHeight="1">
      <c r="A24" s="610" t="s">
        <v>599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599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599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599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599</v>
      </c>
      <c r="BJ24" s="653">
        <v>95.34</v>
      </c>
      <c r="BK24" s="814">
        <v>96.23</v>
      </c>
      <c r="BL24" s="814">
        <v>7.0000000000000007E-2</v>
      </c>
      <c r="BM24" s="814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1.25" customHeight="1">
      <c r="A25" s="607" t="s">
        <v>607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2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607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607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607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607</v>
      </c>
      <c r="BJ25" s="654">
        <v>95.67</v>
      </c>
      <c r="BK25" s="842">
        <v>95.24</v>
      </c>
      <c r="BL25" s="842">
        <v>7.0000000000000007E-2</v>
      </c>
      <c r="BM25" s="842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1.25" customHeight="1">
      <c r="A26" s="610" t="s">
        <v>608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4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608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608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608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608</v>
      </c>
      <c r="BJ26" s="653">
        <v>94.52</v>
      </c>
      <c r="BK26" s="814">
        <v>93.35</v>
      </c>
      <c r="BL26" s="814">
        <v>7.0000000000000007E-2</v>
      </c>
      <c r="BM26" s="814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1.25" customHeight="1">
      <c r="A27" s="607" t="s">
        <v>600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2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600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600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600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600</v>
      </c>
      <c r="BJ27" s="654">
        <v>91.33</v>
      </c>
      <c r="BK27" s="654">
        <v>90</v>
      </c>
      <c r="BL27" s="842">
        <v>7.0000000000000007E-2</v>
      </c>
      <c r="BM27" s="842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1.25" customHeight="1">
      <c r="A28" s="610" t="s">
        <v>609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4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609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609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609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609</v>
      </c>
      <c r="BJ28" s="653">
        <v>91.8</v>
      </c>
      <c r="BK28" s="653">
        <v>93.23</v>
      </c>
      <c r="BL28" s="814">
        <v>0.06</v>
      </c>
      <c r="BM28" s="814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1.25" customHeight="1">
      <c r="A29" s="607" t="s">
        <v>610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2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610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610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610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610</v>
      </c>
      <c r="BJ29" s="654">
        <v>93.86</v>
      </c>
      <c r="BK29" s="654">
        <v>94.23</v>
      </c>
      <c r="BL29" s="842">
        <v>0.03</v>
      </c>
      <c r="BM29" s="842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1.25" customHeight="1">
      <c r="A30" s="610" t="s">
        <v>601</v>
      </c>
      <c r="B30" s="653">
        <v>64.89</v>
      </c>
      <c r="C30" s="653">
        <v>63.71</v>
      </c>
      <c r="D30" s="653">
        <v>84.81</v>
      </c>
      <c r="E30" s="653">
        <v>84.81</v>
      </c>
      <c r="F30" s="814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601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601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601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601</v>
      </c>
      <c r="BJ30" s="653">
        <v>93.52</v>
      </c>
      <c r="BK30" s="653">
        <v>92.11</v>
      </c>
      <c r="BL30" s="814">
        <v>0.03</v>
      </c>
      <c r="BM30" s="814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1.25" customHeight="1">
      <c r="A31" s="612" t="s">
        <v>2160</v>
      </c>
      <c r="B31" s="755">
        <v>62.632107885953701</v>
      </c>
      <c r="C31" s="755">
        <f>C43</f>
        <v>64.312288642109806</v>
      </c>
      <c r="D31" s="755">
        <v>86.300625801282095</v>
      </c>
      <c r="E31" s="1490">
        <f>E43</f>
        <v>93.45</v>
      </c>
      <c r="F31" s="755">
        <v>228.90339795048399</v>
      </c>
      <c r="G31" s="755">
        <f>G43</f>
        <v>247.87798408488101</v>
      </c>
      <c r="H31" s="755">
        <v>68.192807053052405</v>
      </c>
      <c r="I31" s="755">
        <f t="shared" ref="I31" si="1">I43</f>
        <v>72.4811913441402</v>
      </c>
      <c r="J31" s="755">
        <v>13.3677632698337</v>
      </c>
      <c r="K31" s="755">
        <f>K43</f>
        <v>13.924069493697299</v>
      </c>
      <c r="L31" s="755">
        <v>13.0828722420963</v>
      </c>
      <c r="M31" s="755">
        <f>M43</f>
        <v>13.1145010314776</v>
      </c>
      <c r="N31" s="755">
        <v>97.316128944854796</v>
      </c>
      <c r="O31" s="755">
        <f>O43</f>
        <v>97.571141419883105</v>
      </c>
      <c r="P31" s="612" t="s">
        <v>2160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2160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2160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2160</v>
      </c>
      <c r="BJ31" s="755">
        <v>92.631618793016997</v>
      </c>
      <c r="BK31" s="672">
        <f>BK43</f>
        <v>97.827793771264098</v>
      </c>
      <c r="BL31" s="755">
        <v>3.43529430421185E-2</v>
      </c>
      <c r="BM31" s="672">
        <f>BM43</f>
        <v>3.7194029850746303E-2</v>
      </c>
      <c r="BN31" s="755">
        <v>120.167964158673</v>
      </c>
      <c r="BO31" s="672">
        <f>BO43</f>
        <v>124.08710662594601</v>
      </c>
      <c r="BP31" s="755">
        <v>2.5815933240538902</v>
      </c>
      <c r="BQ31" s="672">
        <f>BQ43</f>
        <v>2.6476838079048002</v>
      </c>
      <c r="BR31" s="755">
        <v>23.495424609959599</v>
      </c>
      <c r="BS31" s="672">
        <f>BS43</f>
        <v>25.441724973455699</v>
      </c>
      <c r="BT31" s="755">
        <v>86.300625801282095</v>
      </c>
      <c r="BU31" s="672">
        <f>BU43</f>
        <v>93.45</v>
      </c>
      <c r="BV31" s="755">
        <v>114.891880227879</v>
      </c>
      <c r="BW31" s="672">
        <f>BW43</f>
        <v>113.326811917622</v>
      </c>
    </row>
    <row r="32" spans="1:75" s="188" customFormat="1" ht="11.25" customHeight="1">
      <c r="A32" s="610" t="s">
        <v>603</v>
      </c>
      <c r="B32" s="653">
        <v>63.12</v>
      </c>
      <c r="C32" s="653">
        <v>62.56</v>
      </c>
      <c r="D32" s="653">
        <v>84.8</v>
      </c>
      <c r="E32" s="653">
        <v>84.81</v>
      </c>
      <c r="F32" s="814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603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603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603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603</v>
      </c>
      <c r="BJ32" s="653">
        <v>92.24</v>
      </c>
      <c r="BK32" s="653">
        <v>93.18</v>
      </c>
      <c r="BL32" s="814">
        <v>0.03</v>
      </c>
      <c r="BM32" s="814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1.25" customHeight="1">
      <c r="A33" s="607" t="s">
        <v>604</v>
      </c>
      <c r="B33" s="654">
        <v>62.08</v>
      </c>
      <c r="C33" s="654">
        <v>62.17</v>
      </c>
      <c r="D33" s="654">
        <v>84.95</v>
      </c>
      <c r="E33" s="654">
        <v>85.2</v>
      </c>
      <c r="F33" s="842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604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604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604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604</v>
      </c>
      <c r="BJ33" s="654">
        <v>92.97</v>
      </c>
      <c r="BK33" s="654">
        <v>92.92</v>
      </c>
      <c r="BL33" s="842">
        <v>0.03</v>
      </c>
      <c r="BM33" s="842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1.25" customHeight="1">
      <c r="A34" s="610" t="s">
        <v>598</v>
      </c>
      <c r="B34" s="653">
        <v>62.41</v>
      </c>
      <c r="C34" s="653">
        <v>61.37</v>
      </c>
      <c r="D34" s="653">
        <v>85.26</v>
      </c>
      <c r="E34" s="653">
        <v>85.5</v>
      </c>
      <c r="F34" s="814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598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598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598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598</v>
      </c>
      <c r="BJ34" s="653">
        <v>92.46</v>
      </c>
      <c r="BK34" s="653">
        <v>91.45</v>
      </c>
      <c r="BL34" s="814">
        <v>0.03</v>
      </c>
      <c r="BM34" s="814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1.25" customHeight="1">
      <c r="A35" s="607" t="s">
        <v>605</v>
      </c>
      <c r="B35" s="654">
        <v>63.25</v>
      </c>
      <c r="C35" s="654">
        <v>64.44</v>
      </c>
      <c r="D35" s="654">
        <v>85.61</v>
      </c>
      <c r="E35" s="654">
        <v>85.68</v>
      </c>
      <c r="F35" s="842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605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605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605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605</v>
      </c>
      <c r="BJ35" s="654">
        <v>92.66</v>
      </c>
      <c r="BK35" s="654">
        <v>93.55</v>
      </c>
      <c r="BL35" s="842">
        <v>0.03</v>
      </c>
      <c r="BM35" s="842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1.25" customHeight="1">
      <c r="A36" s="610" t="s">
        <v>606</v>
      </c>
      <c r="B36" s="653">
        <v>62.74</v>
      </c>
      <c r="C36" s="653">
        <v>61.29</v>
      </c>
      <c r="D36" s="653">
        <v>85.78</v>
      </c>
      <c r="E36" s="653">
        <v>85.8</v>
      </c>
      <c r="F36" s="814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606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606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606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606</v>
      </c>
      <c r="BJ36" s="653">
        <v>93.06</v>
      </c>
      <c r="BK36" s="653">
        <v>92.94</v>
      </c>
      <c r="BL36" s="814">
        <v>0.03</v>
      </c>
      <c r="BM36" s="814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1.25" customHeight="1">
      <c r="A37" s="607" t="s">
        <v>599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599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599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599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599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1.25" customHeight="1">
      <c r="A38" s="610" t="s">
        <v>607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607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607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607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607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1.25" customHeight="1">
      <c r="A39" s="607" t="s">
        <v>608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608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608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608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608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1.25" customHeight="1">
      <c r="A40" s="610" t="s">
        <v>600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600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600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600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600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1.25" customHeight="1">
      <c r="A41" s="607" t="s">
        <v>609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609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609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609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609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1.25" customHeight="1">
      <c r="A42" s="610" t="s">
        <v>610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610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610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610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610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1.25" customHeight="1">
      <c r="A43" s="607" t="s">
        <v>601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601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601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601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601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1.25" customHeight="1">
      <c r="A44" s="611" t="s">
        <v>2475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2475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2475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2475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2475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1.25" customHeight="1">
      <c r="A45" s="607" t="s">
        <v>603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603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603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603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603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1.25" customHeight="1">
      <c r="A46" s="610" t="s">
        <v>604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604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604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604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604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1.25" customHeight="1">
      <c r="A47" s="607" t="s">
        <v>598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598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598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598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598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1.25" customHeight="1">
      <c r="A48" s="610" t="s">
        <v>605</v>
      </c>
      <c r="B48" s="653">
        <v>61.5424534778818</v>
      </c>
      <c r="C48" s="653">
        <v>62.196398487211503</v>
      </c>
      <c r="D48" s="653">
        <v>96.615384615384599</v>
      </c>
      <c r="E48" s="653">
        <v>97</v>
      </c>
      <c r="F48" s="653">
        <v>256.211508834857</v>
      </c>
      <c r="G48" s="653">
        <v>257.26031030367301</v>
      </c>
      <c r="H48" s="653">
        <v>70.496410154389295</v>
      </c>
      <c r="I48" s="653">
        <v>71.313042199676502</v>
      </c>
      <c r="J48" s="653">
        <v>13.5678718738738</v>
      </c>
      <c r="K48" s="653">
        <v>13.515773046483099</v>
      </c>
      <c r="L48" s="653">
        <v>12.7800029334058</v>
      </c>
      <c r="M48" s="653">
        <v>12.987186868213501</v>
      </c>
      <c r="N48" s="653">
        <v>95.055577421852306</v>
      </c>
      <c r="O48" s="653">
        <v>96.660496106372307</v>
      </c>
      <c r="P48" s="610" t="s">
        <v>605</v>
      </c>
      <c r="Q48" s="417">
        <v>12.3079914779421</v>
      </c>
      <c r="R48" s="417">
        <v>12.3578685861706</v>
      </c>
      <c r="S48" s="417">
        <v>1.17556638274229</v>
      </c>
      <c r="T48" s="417">
        <v>1.17906610671156</v>
      </c>
      <c r="U48" s="417">
        <v>6.26340338978829E-3</v>
      </c>
      <c r="V48" s="417">
        <v>6.22213669457006E-3</v>
      </c>
      <c r="W48" s="417">
        <v>2.3003663003662998E-3</v>
      </c>
      <c r="X48" s="417">
        <v>2.3095238095238099E-3</v>
      </c>
      <c r="Y48" s="417">
        <v>0.65785929670688303</v>
      </c>
      <c r="Z48" s="417">
        <v>0.65778320279388303</v>
      </c>
      <c r="AA48" s="417">
        <v>311.63927184644399</v>
      </c>
      <c r="AB48" s="417">
        <v>313.30749354005201</v>
      </c>
      <c r="AC48" s="417">
        <v>20.594951339743101</v>
      </c>
      <c r="AD48" s="417">
        <v>20.519329419853001</v>
      </c>
      <c r="AE48" s="610" t="s">
        <v>605</v>
      </c>
      <c r="AF48" s="417">
        <v>4.6007326007326002E-2</v>
      </c>
      <c r="AG48" s="417">
        <v>4.6190476190476198E-2</v>
      </c>
      <c r="AH48" s="417">
        <v>0.78058592305782204</v>
      </c>
      <c r="AI48" s="417">
        <v>0.78724948017186402</v>
      </c>
      <c r="AJ48" s="417">
        <v>54.9481924122002</v>
      </c>
      <c r="AK48" s="417">
        <v>56.405493327601</v>
      </c>
      <c r="AL48" s="417">
        <v>9.1322133322901493</v>
      </c>
      <c r="AM48" s="417">
        <v>9.3858554191219898</v>
      </c>
      <c r="AN48" s="417">
        <v>250.93654559957599</v>
      </c>
      <c r="AO48" s="417">
        <v>251.915335670692</v>
      </c>
      <c r="AP48" s="417">
        <v>0.436110217630921</v>
      </c>
      <c r="AQ48" s="417">
        <v>0.43817052512704702</v>
      </c>
      <c r="AR48" s="417">
        <v>1.6444369217622199</v>
      </c>
      <c r="AS48" s="417">
        <v>1.6715491986903299</v>
      </c>
      <c r="AT48" s="610" t="s">
        <v>605</v>
      </c>
      <c r="AU48" s="487">
        <v>26.4777066925894</v>
      </c>
      <c r="AV48" s="417">
        <v>26.389531245749101</v>
      </c>
      <c r="AW48" s="417">
        <v>1.5723933302824</v>
      </c>
      <c r="AX48" s="417">
        <v>1.57659488013003</v>
      </c>
      <c r="AY48" s="417">
        <v>25.704843331950698</v>
      </c>
      <c r="AZ48" s="417">
        <v>25.807481509072499</v>
      </c>
      <c r="BA48" s="417">
        <v>6.7718085368116507E-2</v>
      </c>
      <c r="BB48" s="417">
        <v>6.8316113447005694E-2</v>
      </c>
      <c r="BC48" s="417">
        <v>67.830028671621704</v>
      </c>
      <c r="BD48" s="417">
        <v>68.7528794698231</v>
      </c>
      <c r="BE48" s="417">
        <v>8.6947969315943894</v>
      </c>
      <c r="BF48" s="417">
        <v>8.8577598999164397</v>
      </c>
      <c r="BG48" s="417">
        <v>0.26405197466354402</v>
      </c>
      <c r="BH48" s="417">
        <v>0.26430517711171703</v>
      </c>
      <c r="BI48" s="610" t="s">
        <v>605</v>
      </c>
      <c r="BJ48" s="653">
        <v>97.1279654022713</v>
      </c>
      <c r="BK48" s="653">
        <v>97.360232861587903</v>
      </c>
      <c r="BL48" s="653">
        <v>3.8459187241178097E-2</v>
      </c>
      <c r="BM48" s="653">
        <v>3.8606965174129398E-2</v>
      </c>
      <c r="BN48" s="653">
        <v>123.726139352833</v>
      </c>
      <c r="BO48" s="653">
        <v>124.67866323907499</v>
      </c>
      <c r="BP48" s="653">
        <v>2.54840474068931</v>
      </c>
      <c r="BQ48" s="653">
        <v>2.5549848544712201</v>
      </c>
      <c r="BR48" s="653">
        <v>26.3036379322923</v>
      </c>
      <c r="BS48" s="653">
        <v>26.408211047888699</v>
      </c>
      <c r="BT48" s="653">
        <v>96.615384615384599</v>
      </c>
      <c r="BU48" s="653">
        <v>97</v>
      </c>
      <c r="BV48" s="653">
        <v>109.094649570805</v>
      </c>
      <c r="BW48" s="653">
        <v>112.64609248256301</v>
      </c>
    </row>
    <row r="49" spans="1:75" s="188" customFormat="1" ht="11.25" customHeight="1">
      <c r="A49" s="607" t="s">
        <v>606</v>
      </c>
      <c r="B49" s="654">
        <v>64.403006730917895</v>
      </c>
      <c r="C49" s="654">
        <v>65.542394138755995</v>
      </c>
      <c r="D49" s="654">
        <v>97.615384615384599</v>
      </c>
      <c r="E49" s="654">
        <v>98</v>
      </c>
      <c r="F49" s="654">
        <v>258.90299428118698</v>
      </c>
      <c r="G49" s="654">
        <v>259.91247845113401</v>
      </c>
      <c r="H49" s="654">
        <v>72.624314564148307</v>
      </c>
      <c r="I49" s="654">
        <v>72.164948453608204</v>
      </c>
      <c r="J49" s="654">
        <v>13.6281100526193</v>
      </c>
      <c r="K49" s="654">
        <v>13.6549206481907</v>
      </c>
      <c r="L49" s="654">
        <v>13.378575052021899</v>
      </c>
      <c r="M49" s="654">
        <v>13.610922070526801</v>
      </c>
      <c r="N49" s="654">
        <v>99.5264565661967</v>
      </c>
      <c r="O49" s="654">
        <v>101.22419620485999</v>
      </c>
      <c r="P49" s="607" t="s">
        <v>606</v>
      </c>
      <c r="Q49" s="401">
        <v>12.464383580854101</v>
      </c>
      <c r="R49" s="401">
        <v>12.5472924095283</v>
      </c>
      <c r="S49" s="401">
        <v>1.1952282620302701</v>
      </c>
      <c r="T49" s="401">
        <v>1.20059784872467</v>
      </c>
      <c r="U49" s="401">
        <v>6.2306816778415703E-3</v>
      </c>
      <c r="V49" s="401">
        <v>6.2265709384331904E-3</v>
      </c>
      <c r="W49" s="401">
        <v>2.32417582417582E-3</v>
      </c>
      <c r="X49" s="401">
        <v>2.3333333333333301E-3</v>
      </c>
      <c r="Y49" s="401">
        <v>0.68531062981354396</v>
      </c>
      <c r="Z49" s="401">
        <v>0.706535452939692</v>
      </c>
      <c r="AA49" s="401">
        <v>316.462889243728</v>
      </c>
      <c r="AB49" s="401">
        <v>318.49203769905802</v>
      </c>
      <c r="AC49" s="401">
        <v>21.161951072462301</v>
      </c>
      <c r="AD49" s="401">
        <v>21.89699474919</v>
      </c>
      <c r="AE49" s="607" t="s">
        <v>606</v>
      </c>
      <c r="AF49" s="401">
        <v>4.64835164835165E-2</v>
      </c>
      <c r="AG49" s="401">
        <v>4.6666666666666697E-2</v>
      </c>
      <c r="AH49" s="401">
        <v>0.80145062122703503</v>
      </c>
      <c r="AI49" s="401">
        <v>0.81498033652034996</v>
      </c>
      <c r="AJ49" s="401">
        <v>59.117903399819603</v>
      </c>
      <c r="AK49" s="401">
        <v>60.759993677419303</v>
      </c>
      <c r="AL49" s="401">
        <v>9.6269360047477495</v>
      </c>
      <c r="AM49" s="401">
        <v>9.7940745848761495</v>
      </c>
      <c r="AN49" s="401">
        <v>253.54392393737899</v>
      </c>
      <c r="AO49" s="401">
        <v>254.54545454545499</v>
      </c>
      <c r="AP49" s="401">
        <v>0.43849944449162698</v>
      </c>
      <c r="AQ49" s="401">
        <v>0.43628269337785203</v>
      </c>
      <c r="AR49" s="401">
        <v>1.69626757820174</v>
      </c>
      <c r="AS49" s="401">
        <v>1.7323669789641201</v>
      </c>
      <c r="AT49" s="607" t="s">
        <v>606</v>
      </c>
      <c r="AU49" s="606">
        <v>26.6793186961456</v>
      </c>
      <c r="AV49" s="401">
        <v>26.7540267540268</v>
      </c>
      <c r="AW49" s="401">
        <v>1.5992967271329499</v>
      </c>
      <c r="AX49" s="401">
        <v>1.6087991463514699</v>
      </c>
      <c r="AY49" s="401">
        <v>25.971343516208901</v>
      </c>
      <c r="AZ49" s="401">
        <v>26.075966207676402</v>
      </c>
      <c r="BA49" s="401">
        <v>7.1901923230715994E-2</v>
      </c>
      <c r="BB49" s="401">
        <v>7.4356211778630901E-2</v>
      </c>
      <c r="BC49" s="401">
        <v>70.369739822752905</v>
      </c>
      <c r="BD49" s="401">
        <v>71.322004293875807</v>
      </c>
      <c r="BE49" s="401">
        <v>9.1472348393530698</v>
      </c>
      <c r="BF49" s="401">
        <v>9.2848751279038897</v>
      </c>
      <c r="BG49" s="401">
        <v>0.266389813954025</v>
      </c>
      <c r="BH49" s="401">
        <v>0.269601100412655</v>
      </c>
      <c r="BI49" s="607" t="s">
        <v>606</v>
      </c>
      <c r="BJ49" s="654">
        <v>101.189115408749</v>
      </c>
      <c r="BK49" s="654">
        <v>102.736135863298</v>
      </c>
      <c r="BL49" s="654">
        <v>3.88590257490629E-2</v>
      </c>
      <c r="BM49" s="654">
        <v>3.9020505673900099E-2</v>
      </c>
      <c r="BN49" s="654">
        <v>126.960043272693</v>
      </c>
      <c r="BO49" s="654">
        <v>128.794848206072</v>
      </c>
      <c r="BP49" s="654">
        <v>2.6815757644682399</v>
      </c>
      <c r="BQ49" s="654">
        <v>2.7762039660056699</v>
      </c>
      <c r="BR49" s="654">
        <v>26.5757907426072</v>
      </c>
      <c r="BS49" s="654">
        <v>26.680460646320501</v>
      </c>
      <c r="BT49" s="654">
        <v>97.615384615384599</v>
      </c>
      <c r="BU49" s="654">
        <v>98</v>
      </c>
      <c r="BV49" s="654">
        <v>114.547877857789</v>
      </c>
      <c r="BW49" s="654">
        <v>117.158996721037</v>
      </c>
    </row>
    <row r="50" spans="1:75" s="188" customFormat="1" ht="11.25" customHeight="1" thickBot="1">
      <c r="A50" s="1626" t="s">
        <v>599</v>
      </c>
      <c r="B50" s="1661">
        <v>66.7106587996592</v>
      </c>
      <c r="C50" s="1661">
        <v>67.112098539607601</v>
      </c>
      <c r="D50" s="1661">
        <v>98.846153846153797</v>
      </c>
      <c r="E50" s="1661">
        <v>99</v>
      </c>
      <c r="F50" s="1661">
        <v>262.15929941417198</v>
      </c>
      <c r="G50" s="1661">
        <v>262.56464659859398</v>
      </c>
      <c r="H50" s="1661">
        <v>72.752917162379504</v>
      </c>
      <c r="I50" s="1661">
        <v>73.073516386182504</v>
      </c>
      <c r="J50" s="1661">
        <v>14.151392426508201</v>
      </c>
      <c r="K50" s="1661">
        <v>14.1966014196601</v>
      </c>
      <c r="L50" s="1661">
        <v>14.0466612671097</v>
      </c>
      <c r="M50" s="1661">
        <v>14.128325151273</v>
      </c>
      <c r="N50" s="1661">
        <v>104.490433760675</v>
      </c>
      <c r="O50" s="1661">
        <v>105.548849767856</v>
      </c>
      <c r="P50" s="1626" t="s">
        <v>599</v>
      </c>
      <c r="Q50" s="1670">
        <v>12.6901585076995</v>
      </c>
      <c r="R50" s="1670">
        <v>12.7003675409394</v>
      </c>
      <c r="S50" s="1670">
        <v>1.1995101363951499</v>
      </c>
      <c r="T50" s="1670">
        <v>1.19583992655852</v>
      </c>
      <c r="U50" s="1670">
        <v>6.3288065296305497E-3</v>
      </c>
      <c r="V50" s="1670">
        <v>6.2897077509529902E-3</v>
      </c>
      <c r="W50" s="1670">
        <v>2.3534043085260302E-3</v>
      </c>
      <c r="X50" s="1670">
        <v>2.3570025593714701E-3</v>
      </c>
      <c r="Y50" s="1670">
        <v>0.73126233435584898</v>
      </c>
      <c r="Z50" s="1670">
        <v>0.744276961244972</v>
      </c>
      <c r="AA50" s="1670">
        <v>322.37505440709498</v>
      </c>
      <c r="AB50" s="1670">
        <v>323.15978456014398</v>
      </c>
      <c r="AC50" s="1670">
        <v>22.3890584017999</v>
      </c>
      <c r="AD50" s="1670">
        <v>22.395656599932099</v>
      </c>
      <c r="AE50" s="1626" t="s">
        <v>599</v>
      </c>
      <c r="AF50" s="1670">
        <v>4.7069597069597097E-2</v>
      </c>
      <c r="AG50" s="1670">
        <v>4.7142857142857097E-2</v>
      </c>
      <c r="AH50" s="1670">
        <v>0.82902352415101699</v>
      </c>
      <c r="AI50" s="1670">
        <v>0.831860072733139</v>
      </c>
      <c r="AJ50" s="1670">
        <v>62.793520347501797</v>
      </c>
      <c r="AK50" s="1670">
        <v>62.478893725241598</v>
      </c>
      <c r="AL50" s="1670">
        <v>10.0065923155296</v>
      </c>
      <c r="AM50" s="1670">
        <v>10.0025258903764</v>
      </c>
      <c r="AN50" s="1670">
        <v>256.741972480188</v>
      </c>
      <c r="AO50" s="1670">
        <v>257.142857142857</v>
      </c>
      <c r="AP50" s="1670">
        <v>0.43889349923997101</v>
      </c>
      <c r="AQ50" s="1670">
        <v>0.43660418963616299</v>
      </c>
      <c r="AR50" s="1670">
        <v>1.7781716502841201</v>
      </c>
      <c r="AS50" s="1670">
        <v>1.7762626715708301</v>
      </c>
      <c r="AT50" s="1626" t="s">
        <v>599</v>
      </c>
      <c r="AU50" s="1674">
        <v>26.978926656934799</v>
      </c>
      <c r="AV50" s="1670">
        <v>27.027027027027</v>
      </c>
      <c r="AW50" s="1670">
        <v>1.50756152171142</v>
      </c>
      <c r="AX50" s="1670">
        <v>1.36082474226804</v>
      </c>
      <c r="AY50" s="1670">
        <v>26.287637113113099</v>
      </c>
      <c r="AZ50" s="1670">
        <v>26.333289001196999</v>
      </c>
      <c r="BA50" s="1670">
        <v>7.6391758494049694E-2</v>
      </c>
      <c r="BB50" s="1670">
        <v>7.8133323862627405E-2</v>
      </c>
      <c r="BC50" s="1670">
        <v>73.061577762215407</v>
      </c>
      <c r="BD50" s="1670">
        <v>73.679901760131003</v>
      </c>
      <c r="BE50" s="1670">
        <v>9.5199173636819108</v>
      </c>
      <c r="BF50" s="1670">
        <v>9.4615064820876498</v>
      </c>
      <c r="BG50" s="1670">
        <v>0.26946025610109903</v>
      </c>
      <c r="BH50" s="1670">
        <v>0.27086183310533501</v>
      </c>
      <c r="BI50" s="1626" t="s">
        <v>599</v>
      </c>
      <c r="BJ50" s="1661">
        <v>105.90077118008401</v>
      </c>
      <c r="BK50" s="1661">
        <v>106.583409592507</v>
      </c>
      <c r="BL50" s="1661">
        <v>3.9350176330098498E-2</v>
      </c>
      <c r="BM50" s="1661">
        <v>3.9402985074626903E-2</v>
      </c>
      <c r="BN50" s="1661">
        <v>131.33890365527901</v>
      </c>
      <c r="BO50" s="1661">
        <v>131.75405908969901</v>
      </c>
      <c r="BP50" s="1661">
        <v>2.8422731081319199</v>
      </c>
      <c r="BQ50" s="1661">
        <v>2.8596187175043299</v>
      </c>
      <c r="BR50" s="1661">
        <v>26.912081292318501</v>
      </c>
      <c r="BS50" s="1661">
        <v>26.9556457102404</v>
      </c>
      <c r="BT50" s="1661">
        <v>98.846153846153797</v>
      </c>
      <c r="BU50" s="1661">
        <v>99</v>
      </c>
      <c r="BV50" s="1661">
        <v>120.328060398982</v>
      </c>
      <c r="BW50" s="1661">
        <v>119.344492608876</v>
      </c>
    </row>
    <row r="51" spans="1:75" s="68" customFormat="1" ht="12.75" customHeight="1">
      <c r="A51" s="655" t="s">
        <v>420</v>
      </c>
      <c r="B51" s="656" t="s">
        <v>1701</v>
      </c>
      <c r="C51" s="34"/>
      <c r="D51" s="34"/>
      <c r="E51" s="34"/>
      <c r="F51" s="34"/>
      <c r="G51" s="34"/>
      <c r="H51" s="657" t="s">
        <v>419</v>
      </c>
      <c r="I51" s="2271" t="s">
        <v>1364</v>
      </c>
      <c r="J51" s="2271"/>
      <c r="K51" s="2271"/>
      <c r="L51" s="2271"/>
      <c r="M51" s="2271"/>
      <c r="N51" s="6"/>
      <c r="O51" s="6"/>
      <c r="P51" s="658"/>
      <c r="Q51" s="34"/>
      <c r="R51" s="34"/>
      <c r="S51" s="34"/>
      <c r="T51" s="34"/>
      <c r="U51" s="34"/>
      <c r="V51" s="34"/>
      <c r="AE51" s="658" t="s">
        <v>761</v>
      </c>
      <c r="AF51" s="2271" t="s">
        <v>1419</v>
      </c>
      <c r="AG51" s="2271"/>
      <c r="AH51" s="2271"/>
      <c r="AI51" s="2271"/>
      <c r="AJ51" s="2271"/>
      <c r="AK51" s="2271"/>
      <c r="AT51" s="1103"/>
      <c r="AU51" s="34"/>
      <c r="AV51" s="34"/>
      <c r="AW51" s="34"/>
      <c r="AX51" s="34"/>
      <c r="AY51" s="34"/>
      <c r="AZ51" s="34"/>
      <c r="BI51" s="658"/>
      <c r="BJ51" s="659"/>
      <c r="BK51" s="659"/>
      <c r="BL51" s="659"/>
      <c r="BM51" s="659"/>
      <c r="BN51" s="659"/>
      <c r="BO51" s="659"/>
      <c r="BP51" s="659"/>
      <c r="BQ51" s="659"/>
      <c r="BR51" s="659"/>
      <c r="BS51" s="659"/>
      <c r="BT51" s="659"/>
      <c r="BU51" s="659"/>
      <c r="BV51" s="659"/>
      <c r="BW51" s="659"/>
    </row>
    <row r="52" spans="1:75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39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393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393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393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1:M51"/>
    <mergeCell ref="AF51:AK51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45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49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D52" sqref="D5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20" t="s">
        <v>347</v>
      </c>
      <c r="B1" s="2320"/>
      <c r="C1" s="2320"/>
      <c r="D1" s="2320"/>
      <c r="E1" s="2320"/>
      <c r="F1" s="2320"/>
      <c r="G1" s="2320"/>
      <c r="H1" s="2320"/>
      <c r="I1" s="2321" t="s">
        <v>348</v>
      </c>
      <c r="J1" s="2321"/>
      <c r="K1" s="2321"/>
      <c r="L1" s="2321"/>
      <c r="M1" s="2321"/>
      <c r="N1" s="2321"/>
      <c r="O1" s="378"/>
      <c r="P1" s="2319" t="s">
        <v>1212</v>
      </c>
      <c r="Q1" s="2319"/>
      <c r="R1" s="2319"/>
      <c r="S1" s="2320" t="s">
        <v>928</v>
      </c>
      <c r="T1" s="2320"/>
      <c r="U1" s="2320"/>
      <c r="V1" s="2320"/>
      <c r="W1" s="2320"/>
      <c r="X1" s="2320"/>
      <c r="Y1" s="2320"/>
      <c r="Z1" s="2320"/>
      <c r="AA1" s="2320"/>
      <c r="AB1" s="2321" t="s">
        <v>348</v>
      </c>
      <c r="AC1" s="2321"/>
      <c r="AD1" s="2321"/>
      <c r="AE1" s="2321"/>
      <c r="AF1" s="2321"/>
      <c r="AG1" s="378"/>
      <c r="AH1" s="2319" t="s">
        <v>1213</v>
      </c>
      <c r="AI1" s="2319"/>
      <c r="AJ1" s="2319"/>
    </row>
    <row r="2" spans="1:36" s="17" customFormat="1" ht="10.5" customHeight="1">
      <c r="A2" s="46"/>
      <c r="B2" s="46"/>
      <c r="C2" s="46"/>
      <c r="E2" s="127"/>
      <c r="H2" s="72"/>
      <c r="I2" s="1123"/>
      <c r="J2" s="72"/>
      <c r="K2" s="72"/>
      <c r="L2" s="72"/>
      <c r="M2" s="72"/>
      <c r="N2" s="72"/>
      <c r="O2" s="46"/>
      <c r="P2" s="46"/>
      <c r="Q2" s="2291" t="s">
        <v>657</v>
      </c>
      <c r="R2" s="2291"/>
      <c r="W2" s="127"/>
      <c r="AI2" s="2291" t="s">
        <v>657</v>
      </c>
      <c r="AJ2" s="2291"/>
    </row>
    <row r="3" spans="1:36" s="91" customFormat="1" ht="39" customHeight="1">
      <c r="A3" s="1104" t="s">
        <v>1019</v>
      </c>
      <c r="B3" s="1104" t="s">
        <v>658</v>
      </c>
      <c r="C3" s="1104" t="s">
        <v>416</v>
      </c>
      <c r="D3" s="1104" t="s">
        <v>559</v>
      </c>
      <c r="E3" s="1104" t="s">
        <v>560</v>
      </c>
      <c r="F3" s="1104" t="s">
        <v>912</v>
      </c>
      <c r="G3" s="1104" t="s">
        <v>913</v>
      </c>
      <c r="H3" s="1104" t="s">
        <v>328</v>
      </c>
      <c r="I3" s="1104" t="s">
        <v>914</v>
      </c>
      <c r="J3" s="1104" t="s">
        <v>562</v>
      </c>
      <c r="K3" s="1104" t="s">
        <v>915</v>
      </c>
      <c r="L3" s="1104" t="s">
        <v>251</v>
      </c>
      <c r="M3" s="1104" t="s">
        <v>916</v>
      </c>
      <c r="N3" s="1104" t="s">
        <v>917</v>
      </c>
      <c r="O3" s="1104" t="s">
        <v>918</v>
      </c>
      <c r="P3" s="1104" t="s">
        <v>919</v>
      </c>
      <c r="Q3" s="1104" t="s">
        <v>565</v>
      </c>
      <c r="R3" s="1104" t="s">
        <v>566</v>
      </c>
      <c r="S3" s="1104" t="s">
        <v>1019</v>
      </c>
      <c r="T3" s="1104" t="s">
        <v>567</v>
      </c>
      <c r="U3" s="1104" t="s">
        <v>568</v>
      </c>
      <c r="V3" s="1104" t="s">
        <v>920</v>
      </c>
      <c r="W3" s="1104" t="s">
        <v>570</v>
      </c>
      <c r="X3" s="1261" t="s">
        <v>2287</v>
      </c>
      <c r="Y3" s="1104" t="s">
        <v>921</v>
      </c>
      <c r="Z3" s="1104" t="s">
        <v>922</v>
      </c>
      <c r="AA3" s="1104" t="s">
        <v>417</v>
      </c>
      <c r="AB3" s="1104" t="s">
        <v>923</v>
      </c>
      <c r="AC3" s="1104" t="s">
        <v>924</v>
      </c>
      <c r="AD3" s="1128" t="s">
        <v>925</v>
      </c>
      <c r="AE3" s="1261" t="s">
        <v>2288</v>
      </c>
      <c r="AF3" s="1104" t="s">
        <v>660</v>
      </c>
      <c r="AG3" s="1104" t="s">
        <v>576</v>
      </c>
      <c r="AH3" s="1104" t="s">
        <v>1726</v>
      </c>
      <c r="AI3" s="1104" t="s">
        <v>1421</v>
      </c>
      <c r="AJ3" s="1104" t="s">
        <v>1420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2.95" customHeight="1">
      <c r="A5" s="332" t="s">
        <v>198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198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2.95" customHeight="1">
      <c r="A6" s="175" t="s">
        <v>789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789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2.95" customHeight="1">
      <c r="A7" s="332" t="s">
        <v>905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905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2.95" customHeight="1">
      <c r="A8" s="713" t="s">
        <v>1104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3" t="s">
        <v>1104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2.95" customHeight="1">
      <c r="A9" s="791" t="s">
        <v>1163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1" t="s">
        <v>1163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2.95" customHeight="1">
      <c r="A10" s="868" t="s">
        <v>1295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8" t="s">
        <v>1295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2.95" customHeight="1">
      <c r="A11" s="1010" t="s">
        <v>1328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10" t="s">
        <v>1328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2.95" customHeight="1">
      <c r="A12" s="1150" t="s">
        <v>1467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50" t="s">
        <v>1467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2.95" customHeight="1">
      <c r="A13" s="633" t="s">
        <v>1596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1596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2.95" customHeight="1">
      <c r="A14" s="618" t="s">
        <v>1691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1691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2.95" customHeight="1">
      <c r="A15" s="670" t="s">
        <v>1760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1760</v>
      </c>
      <c r="T15" s="1136">
        <v>12.92</v>
      </c>
      <c r="U15" s="1136">
        <v>0</v>
      </c>
      <c r="V15" s="1136">
        <v>5.84</v>
      </c>
      <c r="W15" s="1136">
        <v>2.21</v>
      </c>
      <c r="X15" s="1136">
        <v>-1.64</v>
      </c>
      <c r="Y15" s="1136">
        <v>-3.71</v>
      </c>
      <c r="Z15" s="1136">
        <v>0.02</v>
      </c>
      <c r="AA15" s="1136">
        <v>5.92</v>
      </c>
      <c r="AB15" s="1136">
        <v>3.59</v>
      </c>
      <c r="AC15" s="1136">
        <v>9.41</v>
      </c>
      <c r="AD15" s="1136">
        <v>-6.69</v>
      </c>
      <c r="AE15" s="1136">
        <v>3.32</v>
      </c>
      <c r="AF15" s="1136">
        <v>-79.510000000000005</v>
      </c>
      <c r="AG15" s="1136">
        <v>3.41</v>
      </c>
      <c r="AH15" s="1136">
        <v>-3.65</v>
      </c>
      <c r="AI15" s="1136">
        <v>0</v>
      </c>
      <c r="AJ15" s="1136">
        <v>12.51</v>
      </c>
    </row>
    <row r="16" spans="1:36" s="310" customFormat="1" ht="12.95" customHeight="1">
      <c r="A16" s="607" t="s">
        <v>603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603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2.95" customHeight="1">
      <c r="A17" s="610" t="s">
        <v>604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604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2.95" customHeight="1">
      <c r="A18" s="607" t="s">
        <v>598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598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2.95" customHeight="1">
      <c r="A19" s="610" t="s">
        <v>605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605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2.95" customHeight="1">
      <c r="A20" s="607" t="s">
        <v>606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606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2.95" customHeight="1">
      <c r="A21" s="610" t="s">
        <v>599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599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2.95" customHeight="1">
      <c r="A22" s="607" t="s">
        <v>607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607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2.95" customHeight="1">
      <c r="A23" s="610" t="s">
        <v>608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608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2.95" customHeight="1">
      <c r="A24" s="607" t="s">
        <v>600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600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2.95" customHeight="1">
      <c r="A25" s="610" t="s">
        <v>609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609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2.95" customHeight="1">
      <c r="A26" s="607" t="s">
        <v>610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610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2.95" customHeight="1">
      <c r="A27" s="610" t="s">
        <v>601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601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2.95" customHeight="1">
      <c r="A28" s="618" t="s">
        <v>2160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2160</v>
      </c>
      <c r="T28" s="755">
        <v>-13.61</v>
      </c>
      <c r="U28" s="755">
        <v>0</v>
      </c>
      <c r="V28" s="755">
        <v>-22.47</v>
      </c>
      <c r="W28" s="755">
        <v>-11.25</v>
      </c>
      <c r="X28" s="755">
        <v>1.06</v>
      </c>
      <c r="Y28" s="755">
        <v>37.840000000000003</v>
      </c>
      <c r="Z28" s="755">
        <v>-0.05</v>
      </c>
      <c r="AA28" s="755">
        <v>-13.05</v>
      </c>
      <c r="AB28" s="755">
        <v>-3.47</v>
      </c>
      <c r="AC28" s="755">
        <v>-16.670000000000002</v>
      </c>
      <c r="AD28" s="755">
        <v>-44.74</v>
      </c>
      <c r="AE28" s="755">
        <v>-3.61</v>
      </c>
      <c r="AF28" s="755">
        <v>-0.04</v>
      </c>
      <c r="AG28" s="755">
        <v>-6.93</v>
      </c>
      <c r="AH28" s="755">
        <v>-9.18</v>
      </c>
      <c r="AI28" s="755">
        <v>0</v>
      </c>
      <c r="AJ28" s="755">
        <v>-12.36</v>
      </c>
    </row>
    <row r="29" spans="1:37" s="310" customFormat="1" ht="12.95" customHeight="1">
      <c r="A29" s="610" t="s">
        <v>603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603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2.95" customHeight="1">
      <c r="A30" s="607" t="s">
        <v>604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604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2.95" customHeight="1">
      <c r="A31" s="610" t="s">
        <v>598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598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72"/>
    </row>
    <row r="32" spans="1:37" s="310" customFormat="1" ht="12.95" customHeight="1">
      <c r="A32" s="607" t="s">
        <v>605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605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72"/>
    </row>
    <row r="33" spans="1:37" s="310" customFormat="1" ht="12.95" customHeight="1">
      <c r="A33" s="610" t="s">
        <v>606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606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72"/>
    </row>
    <row r="34" spans="1:37" s="310" customFormat="1" ht="12.95" customHeight="1">
      <c r="A34" s="607" t="s">
        <v>599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599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2.95" customHeight="1">
      <c r="A35" s="610" t="s">
        <v>607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607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2.95" customHeight="1">
      <c r="A36" s="607" t="s">
        <v>608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608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2.95" customHeight="1">
      <c r="A37" s="610" t="s">
        <v>600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600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2.95" customHeight="1">
      <c r="A38" s="607" t="s">
        <v>609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609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2.95" customHeight="1">
      <c r="A39" s="610" t="s">
        <v>610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610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2.95" customHeight="1">
      <c r="A40" s="607" t="s">
        <v>601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601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2.95" customHeight="1">
      <c r="A41" s="670" t="s">
        <v>2475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2475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2.95" customHeight="1">
      <c r="A42" s="607" t="s">
        <v>603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603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2.95" customHeight="1">
      <c r="A43" s="610" t="s">
        <v>604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604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2.95" customHeight="1">
      <c r="A44" s="607" t="s">
        <v>598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598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2.95" customHeight="1">
      <c r="A45" s="610" t="s">
        <v>605</v>
      </c>
      <c r="B45" s="417">
        <v>-1.7016710909491</v>
      </c>
      <c r="C45" s="417">
        <v>-1.0309278350515501</v>
      </c>
      <c r="D45" s="417">
        <v>-1.3260840737302699E-2</v>
      </c>
      <c r="E45" s="417">
        <v>3.6759300102926003E-2</v>
      </c>
      <c r="F45" s="417">
        <v>-0.92799019061420096</v>
      </c>
      <c r="G45" s="417">
        <v>2.27074937407115</v>
      </c>
      <c r="H45" s="417">
        <v>2.3573502660999601</v>
      </c>
      <c r="I45" s="417">
        <v>-1.91101060610886E-3</v>
      </c>
      <c r="J45" s="417">
        <v>-1.0180081075989</v>
      </c>
      <c r="K45" s="417">
        <v>-2.2515154430866899</v>
      </c>
      <c r="L45" s="417">
        <v>0</v>
      </c>
      <c r="M45" s="417">
        <v>-2.2378191435255799</v>
      </c>
      <c r="N45" s="417">
        <v>0.27454780361757097</v>
      </c>
      <c r="O45" s="417">
        <v>-1.71875826326088</v>
      </c>
      <c r="P45" s="417">
        <v>0</v>
      </c>
      <c r="Q45" s="417">
        <v>1.06140708264821</v>
      </c>
      <c r="R45" s="417">
        <v>1.4834209521739301</v>
      </c>
      <c r="S45" s="610" t="s">
        <v>605</v>
      </c>
      <c r="T45" s="653">
        <v>3.1979641402266199</v>
      </c>
      <c r="U45" s="653">
        <v>-1.29853265809635E-2</v>
      </c>
      <c r="V45" s="653">
        <v>4.77696216826652</v>
      </c>
      <c r="W45" s="653">
        <v>1.55953816991211</v>
      </c>
      <c r="X45" s="653">
        <v>-0.34823298963462701</v>
      </c>
      <c r="Y45" s="653">
        <v>-5.8919138561560302</v>
      </c>
      <c r="Z45" s="653">
        <v>0.21018464321822</v>
      </c>
      <c r="AA45" s="653">
        <v>1.0233331220463799</v>
      </c>
      <c r="AB45" s="653">
        <v>1.67983839529362</v>
      </c>
      <c r="AC45" s="653">
        <v>2.8276343845454899</v>
      </c>
      <c r="AD45" s="653">
        <v>-0.83378746594005404</v>
      </c>
      <c r="AE45" s="653">
        <v>-2.0074274816822202</v>
      </c>
      <c r="AF45" s="653">
        <v>0</v>
      </c>
      <c r="AG45" s="653">
        <v>0.74550128534704396</v>
      </c>
      <c r="AH45" s="653">
        <v>0.36876070064533101</v>
      </c>
      <c r="AI45" s="653">
        <v>0</v>
      </c>
      <c r="AJ45" s="653">
        <v>6.6391149375758802</v>
      </c>
    </row>
    <row r="46" spans="1:37" s="310" customFormat="1" ht="12.95" customHeight="1">
      <c r="A46" s="607" t="s">
        <v>606</v>
      </c>
      <c r="B46" s="401">
        <v>4.3044224046245798</v>
      </c>
      <c r="C46" s="401">
        <v>-1.0204081632653099</v>
      </c>
      <c r="D46" s="401">
        <v>0</v>
      </c>
      <c r="E46" s="401">
        <v>0.16200294550809999</v>
      </c>
      <c r="F46" s="401">
        <v>-1.39335924981538E-3</v>
      </c>
      <c r="G46" s="401">
        <v>3.7332814822016398</v>
      </c>
      <c r="H46" s="401">
        <v>3.6527850357070002</v>
      </c>
      <c r="I46" s="401">
        <v>0.496770352540507</v>
      </c>
      <c r="J46" s="401">
        <v>0.78712665082204203</v>
      </c>
      <c r="K46" s="401">
        <v>-0.94986975030179799</v>
      </c>
      <c r="L46" s="401">
        <v>0</v>
      </c>
      <c r="M46" s="401">
        <v>6.3155618038282704</v>
      </c>
      <c r="N46" s="401">
        <v>0.61748456288592801</v>
      </c>
      <c r="O46" s="401">
        <v>5.6250698246006001</v>
      </c>
      <c r="P46" s="401">
        <v>0</v>
      </c>
      <c r="Q46" s="401">
        <v>2.4661471305623399</v>
      </c>
      <c r="R46" s="401">
        <v>6.6208097722762798</v>
      </c>
      <c r="S46" s="607" t="s">
        <v>606</v>
      </c>
      <c r="T46" s="654">
        <v>3.2845128697138199</v>
      </c>
      <c r="U46" s="654">
        <v>1.2987012987013E-2</v>
      </c>
      <c r="V46" s="654">
        <v>-1.44685587089594</v>
      </c>
      <c r="W46" s="654">
        <v>2.5808732543751098</v>
      </c>
      <c r="X46" s="654">
        <v>0.34671034671034701</v>
      </c>
      <c r="Y46" s="654">
        <v>1.0013953870146901</v>
      </c>
      <c r="Z46" s="654">
        <v>9.3128450741701597E-3</v>
      </c>
      <c r="AA46" s="654">
        <v>7.7307698144129704</v>
      </c>
      <c r="AB46" s="654">
        <v>2.6782140387904398</v>
      </c>
      <c r="AC46" s="654">
        <v>3.7523212187819799</v>
      </c>
      <c r="AD46" s="654">
        <v>0.96286107290233802</v>
      </c>
      <c r="AE46" s="654">
        <v>4.4449103679631001</v>
      </c>
      <c r="AF46" s="654">
        <v>3.9816842524387802E-2</v>
      </c>
      <c r="AG46" s="654">
        <v>2.2473386778814599</v>
      </c>
      <c r="AH46" s="654">
        <v>7.5495750708215299</v>
      </c>
      <c r="AI46" s="654">
        <v>0</v>
      </c>
      <c r="AJ46" s="654">
        <v>2.9449794474201698</v>
      </c>
    </row>
    <row r="47" spans="1:37" s="310" customFormat="1" ht="12.95" customHeight="1" thickBot="1">
      <c r="A47" s="1626" t="s">
        <v>599</v>
      </c>
      <c r="B47" s="1670">
        <v>1.36065279171078</v>
      </c>
      <c r="C47" s="1670">
        <v>-1.0101010101010099</v>
      </c>
      <c r="D47" s="1670">
        <v>0</v>
      </c>
      <c r="E47" s="1670">
        <v>0.23619722468261001</v>
      </c>
      <c r="F47" s="1670">
        <v>2.9167562916756302</v>
      </c>
      <c r="G47" s="1670">
        <v>2.7528827491722798</v>
      </c>
      <c r="H47" s="1670">
        <v>3.21909552015256</v>
      </c>
      <c r="I47" s="1670">
        <v>0.197561272859058</v>
      </c>
      <c r="J47" s="1670">
        <v>-1.4023940956913501</v>
      </c>
      <c r="K47" s="1670">
        <v>-6.35324015247776E-3</v>
      </c>
      <c r="L47" s="1670">
        <v>-5.9520266650794603E-3</v>
      </c>
      <c r="M47" s="1670">
        <v>4.2777130398827197</v>
      </c>
      <c r="N47" s="1670">
        <v>0.44067243349110502</v>
      </c>
      <c r="O47" s="1670">
        <v>1.24420314444067</v>
      </c>
      <c r="P47" s="1670">
        <v>0</v>
      </c>
      <c r="Q47" s="1670">
        <v>1.04016119599632</v>
      </c>
      <c r="R47" s="1670">
        <v>1.7903229499642801</v>
      </c>
      <c r="S47" s="1626" t="s">
        <v>599</v>
      </c>
      <c r="T47" s="1661">
        <v>1.0967416014144999</v>
      </c>
      <c r="U47" s="1661">
        <v>0</v>
      </c>
      <c r="V47" s="1661">
        <v>-0.93715545755236995</v>
      </c>
      <c r="W47" s="1661">
        <v>1.4981609401632701</v>
      </c>
      <c r="X47" s="1661">
        <v>0</v>
      </c>
      <c r="Y47" s="1661">
        <v>-16.268041237113401</v>
      </c>
      <c r="Z47" s="1661">
        <v>-3.32491022742386E-2</v>
      </c>
      <c r="AA47" s="1661">
        <v>4.0183416004703796</v>
      </c>
      <c r="AB47" s="1661">
        <v>2.2624939530383701</v>
      </c>
      <c r="AC47" s="1661">
        <v>0.87303900721081495</v>
      </c>
      <c r="AD47" s="1661">
        <v>-0.54719562243502096</v>
      </c>
      <c r="AE47" s="1661">
        <v>2.69688324271949</v>
      </c>
      <c r="AF47" s="1661">
        <v>-3.98009950248756E-2</v>
      </c>
      <c r="AG47" s="1661">
        <v>1.26430662762843</v>
      </c>
      <c r="AH47" s="1661">
        <v>1.9641825534373201</v>
      </c>
      <c r="AI47" s="1661">
        <v>1.08911699839355E-2</v>
      </c>
      <c r="AJ47" s="1661">
        <v>0.83646667343013403</v>
      </c>
    </row>
    <row r="48" spans="1:37" s="13" customFormat="1" ht="12" customHeight="1">
      <c r="A48" s="655" t="s">
        <v>637</v>
      </c>
      <c r="B48" s="2271" t="s">
        <v>1462</v>
      </c>
      <c r="C48" s="2271"/>
      <c r="D48" s="2271"/>
      <c r="E48" s="2271"/>
      <c r="F48" s="2271"/>
      <c r="G48" s="2271"/>
      <c r="H48" s="226"/>
      <c r="I48" s="1218" t="s">
        <v>273</v>
      </c>
      <c r="J48" s="1216" t="s">
        <v>1374</v>
      </c>
      <c r="K48" s="33"/>
      <c r="L48" s="33"/>
      <c r="S48" s="1218" t="s">
        <v>273</v>
      </c>
      <c r="T48" s="1216" t="s">
        <v>1374</v>
      </c>
      <c r="U48" s="33"/>
      <c r="V48" s="33"/>
    </row>
    <row r="49" spans="1:36">
      <c r="A49" s="13"/>
      <c r="B49" s="1384"/>
      <c r="C49" s="1384"/>
      <c r="D49" s="694"/>
      <c r="E49" s="694"/>
      <c r="F49" s="694"/>
      <c r="G49" s="694"/>
      <c r="H49" s="694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8:G48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45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3" sqref="H53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24" t="s">
        <v>638</v>
      </c>
      <c r="B1" s="2324"/>
      <c r="C1" s="2324"/>
      <c r="D1" s="2324"/>
      <c r="E1" s="2324"/>
      <c r="F1" s="2324"/>
      <c r="G1" s="2324"/>
      <c r="H1" s="2324"/>
      <c r="I1" s="2324"/>
      <c r="J1" s="2324"/>
      <c r="K1" s="2106" t="s">
        <v>343</v>
      </c>
      <c r="L1" s="2325"/>
      <c r="M1" s="2325"/>
      <c r="N1" s="2325"/>
      <c r="O1" s="2325"/>
      <c r="P1" s="2325"/>
      <c r="Q1" s="2325"/>
      <c r="R1" s="2325"/>
      <c r="S1" s="2104" t="s">
        <v>1214</v>
      </c>
      <c r="T1" s="2104"/>
      <c r="U1" s="2104"/>
    </row>
    <row r="2" spans="1:22" s="116" customFormat="1" ht="30" customHeight="1">
      <c r="A2" s="1126" t="s">
        <v>627</v>
      </c>
      <c r="B2" s="1126" t="s">
        <v>346</v>
      </c>
      <c r="C2" s="211" t="s">
        <v>866</v>
      </c>
      <c r="D2" s="1126" t="s">
        <v>1187</v>
      </c>
      <c r="E2" s="2327" t="s">
        <v>1108</v>
      </c>
      <c r="F2" s="2328"/>
      <c r="G2" s="1126" t="s">
        <v>345</v>
      </c>
      <c r="H2" s="1126" t="s">
        <v>1114</v>
      </c>
      <c r="I2" s="1138" t="s">
        <v>1105</v>
      </c>
      <c r="J2" s="1126" t="s">
        <v>1113</v>
      </c>
      <c r="K2" s="1126" t="s">
        <v>1107</v>
      </c>
      <c r="L2" s="2330" t="s">
        <v>1352</v>
      </c>
      <c r="M2" s="2331"/>
      <c r="N2" s="2332"/>
      <c r="O2" s="2327" t="s">
        <v>1351</v>
      </c>
      <c r="P2" s="2328"/>
      <c r="Q2" s="1126" t="s">
        <v>840</v>
      </c>
      <c r="R2" s="1126" t="s">
        <v>254</v>
      </c>
      <c r="S2" s="2326" t="s">
        <v>1106</v>
      </c>
      <c r="T2" s="2326"/>
      <c r="U2" s="2326"/>
      <c r="V2" s="134"/>
    </row>
    <row r="3" spans="1:22" s="684" customFormat="1" ht="35.1" customHeight="1">
      <c r="A3" s="681" t="s">
        <v>628</v>
      </c>
      <c r="B3" s="681" t="s">
        <v>629</v>
      </c>
      <c r="C3" s="681" t="s">
        <v>579</v>
      </c>
      <c r="D3" s="688" t="s">
        <v>1188</v>
      </c>
      <c r="E3" s="681" t="s">
        <v>639</v>
      </c>
      <c r="F3" s="681" t="s">
        <v>640</v>
      </c>
      <c r="G3" s="681" t="s">
        <v>362</v>
      </c>
      <c r="H3" s="681" t="s">
        <v>641</v>
      </c>
      <c r="I3" s="689" t="s">
        <v>580</v>
      </c>
      <c r="J3" s="682" t="s">
        <v>651</v>
      </c>
      <c r="K3" s="682" t="s">
        <v>652</v>
      </c>
      <c r="L3" s="682" t="s">
        <v>653</v>
      </c>
      <c r="M3" s="682" t="s">
        <v>1350</v>
      </c>
      <c r="N3" s="682" t="s">
        <v>581</v>
      </c>
      <c r="O3" s="682" t="s">
        <v>642</v>
      </c>
      <c r="P3" s="682" t="s">
        <v>557</v>
      </c>
      <c r="Q3" s="682" t="s">
        <v>41</v>
      </c>
      <c r="R3" s="682" t="s">
        <v>643</v>
      </c>
      <c r="S3" s="682" t="s">
        <v>654</v>
      </c>
      <c r="T3" s="682" t="s">
        <v>655</v>
      </c>
      <c r="U3" s="682" t="s">
        <v>656</v>
      </c>
      <c r="V3" s="683"/>
    </row>
    <row r="4" spans="1:22" s="116" customFormat="1" ht="11.1" customHeight="1">
      <c r="A4" s="135" t="s">
        <v>524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1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1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1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1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113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1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1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19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305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7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305</v>
      </c>
      <c r="K18" s="331">
        <f t="shared" si="0"/>
        <v>469.92883333333333</v>
      </c>
      <c r="L18" s="331" t="s">
        <v>305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112" t="s">
        <v>607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305</v>
      </c>
      <c r="K19" s="281">
        <v>546.59199999999998</v>
      </c>
      <c r="L19" s="281" t="s">
        <v>305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113" t="s">
        <v>608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305</v>
      </c>
      <c r="K20" s="323">
        <v>501.76499999999999</v>
      </c>
      <c r="L20" s="323" t="s">
        <v>305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112" t="s">
        <v>600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305</v>
      </c>
      <c r="K21" s="281">
        <v>503.84899999999999</v>
      </c>
      <c r="L21" s="281" t="s">
        <v>305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113" t="s">
        <v>609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305</v>
      </c>
      <c r="K22" s="323">
        <v>504.22399999999999</v>
      </c>
      <c r="L22" s="323" t="s">
        <v>305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112" t="s">
        <v>610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305</v>
      </c>
      <c r="K23" s="281">
        <v>444.74299999999999</v>
      </c>
      <c r="L23" s="281" t="s">
        <v>305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113" t="s">
        <v>601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305</v>
      </c>
      <c r="K24" s="323">
        <v>466.17599999999999</v>
      </c>
      <c r="L24" s="323" t="s">
        <v>305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112" t="s">
        <v>603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305</v>
      </c>
      <c r="K25" s="281">
        <v>460.57799999999997</v>
      </c>
      <c r="L25" s="281" t="s">
        <v>305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113" t="s">
        <v>604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305</v>
      </c>
      <c r="K26" s="323">
        <v>451.36</v>
      </c>
      <c r="L26" s="323" t="s">
        <v>305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112" t="s">
        <v>598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305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113" t="s">
        <v>605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305</v>
      </c>
      <c r="K28" s="323">
        <v>405.63600000000002</v>
      </c>
      <c r="L28" s="323" t="s">
        <v>305</v>
      </c>
      <c r="M28" s="323">
        <v>165.38800000000001</v>
      </c>
      <c r="N28" s="323">
        <v>226</v>
      </c>
      <c r="O28" s="323">
        <v>530.24699999999996</v>
      </c>
      <c r="P28" s="323" t="s">
        <v>305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112" t="s">
        <v>606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305</v>
      </c>
      <c r="K29" s="281">
        <v>460.50099999999998</v>
      </c>
      <c r="L29" s="281" t="s">
        <v>305</v>
      </c>
      <c r="M29" s="281">
        <v>157.74199999999999</v>
      </c>
      <c r="N29" s="281">
        <v>229.7</v>
      </c>
      <c r="O29" s="281">
        <v>503.16399999999999</v>
      </c>
      <c r="P29" s="281" t="s">
        <v>305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113" t="s">
        <v>599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305</v>
      </c>
      <c r="K30" s="323">
        <v>435.565</v>
      </c>
      <c r="L30" s="323" t="s">
        <v>305</v>
      </c>
      <c r="M30" s="323">
        <v>163.79300000000001</v>
      </c>
      <c r="N30" s="323">
        <v>226</v>
      </c>
      <c r="O30" s="323">
        <v>520.60299999999995</v>
      </c>
      <c r="P30" s="323" t="s">
        <v>305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305</v>
      </c>
      <c r="K31" s="153">
        <f t="shared" si="1"/>
        <v>447.19941666666676</v>
      </c>
      <c r="L31" s="153" t="s">
        <v>305</v>
      </c>
      <c r="M31" s="153">
        <f t="shared" si="1"/>
        <v>143.15049999999999</v>
      </c>
      <c r="N31" s="153" t="s">
        <v>305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113" t="s">
        <v>607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305</v>
      </c>
      <c r="K32" s="323">
        <v>419.29700000000003</v>
      </c>
      <c r="L32" s="323" t="s">
        <v>305</v>
      </c>
      <c r="M32" s="323">
        <v>164.55799999999999</v>
      </c>
      <c r="N32" s="323" t="s">
        <v>305</v>
      </c>
      <c r="O32" s="323">
        <v>531.61900000000003</v>
      </c>
      <c r="P32" s="323" t="s">
        <v>305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112" t="s">
        <v>608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305</v>
      </c>
      <c r="K33" s="281">
        <v>448.315</v>
      </c>
      <c r="L33" s="281" t="s">
        <v>305</v>
      </c>
      <c r="M33" s="281">
        <v>159.25200000000001</v>
      </c>
      <c r="N33" s="281" t="s">
        <v>305</v>
      </c>
      <c r="O33" s="281">
        <v>595.90099999999995</v>
      </c>
      <c r="P33" s="281" t="s">
        <v>305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113" t="s">
        <v>600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305</v>
      </c>
      <c r="K34" s="323">
        <v>434.28100000000001</v>
      </c>
      <c r="L34" s="323" t="s">
        <v>305</v>
      </c>
      <c r="M34" s="323">
        <v>164.03100000000001</v>
      </c>
      <c r="N34" s="323" t="s">
        <v>305</v>
      </c>
      <c r="O34" s="323">
        <v>633.06799999999998</v>
      </c>
      <c r="P34" s="323" t="s">
        <v>305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112" t="s">
        <v>609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305</v>
      </c>
      <c r="K35" s="281">
        <v>441.2</v>
      </c>
      <c r="L35" s="281" t="s">
        <v>305</v>
      </c>
      <c r="M35" s="281">
        <v>163.36500000000001</v>
      </c>
      <c r="N35" s="281" t="s">
        <v>305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113" t="s">
        <v>610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305</v>
      </c>
      <c r="K36" s="323">
        <v>448</v>
      </c>
      <c r="L36" s="323" t="s">
        <v>305</v>
      </c>
      <c r="M36" s="323">
        <v>157.5</v>
      </c>
      <c r="N36" s="323" t="s">
        <v>305</v>
      </c>
      <c r="O36" s="323">
        <v>644.6</v>
      </c>
      <c r="P36" s="323" t="s">
        <v>305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112" t="s">
        <v>601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305</v>
      </c>
      <c r="K37" s="281">
        <v>455.1</v>
      </c>
      <c r="L37" s="281" t="s">
        <v>305</v>
      </c>
      <c r="M37" s="281">
        <v>156.6</v>
      </c>
      <c r="N37" s="281" t="s">
        <v>305</v>
      </c>
      <c r="O37" s="281">
        <v>618.5</v>
      </c>
      <c r="P37" s="281" t="s">
        <v>305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113" t="s">
        <v>603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305</v>
      </c>
      <c r="K38" s="323">
        <v>506.3</v>
      </c>
      <c r="L38" s="323" t="s">
        <v>305</v>
      </c>
      <c r="M38" s="323">
        <v>133.6</v>
      </c>
      <c r="N38" s="323" t="s">
        <v>305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112" t="s">
        <v>604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305</v>
      </c>
      <c r="K39" s="281">
        <v>481.7</v>
      </c>
      <c r="L39" s="281" t="s">
        <v>305</v>
      </c>
      <c r="M39" s="281">
        <v>127.9</v>
      </c>
      <c r="N39" s="281" t="s">
        <v>305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113" t="s">
        <v>598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305</v>
      </c>
      <c r="K40" s="323">
        <v>446.9</v>
      </c>
      <c r="L40" s="323" t="s">
        <v>305</v>
      </c>
      <c r="M40" s="323">
        <v>123.2</v>
      </c>
      <c r="N40" s="323" t="s">
        <v>305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112" t="s">
        <v>605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305</v>
      </c>
      <c r="K41" s="281">
        <v>429.1</v>
      </c>
      <c r="L41" s="281" t="s">
        <v>305</v>
      </c>
      <c r="M41" s="281">
        <v>122.5</v>
      </c>
      <c r="N41" s="281" t="s">
        <v>305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113" t="s">
        <v>606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305</v>
      </c>
      <c r="K42" s="323">
        <v>440.6</v>
      </c>
      <c r="L42" s="323" t="s">
        <v>305</v>
      </c>
      <c r="M42" s="323">
        <v>122.5</v>
      </c>
      <c r="N42" s="323" t="s">
        <v>305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112" t="s">
        <v>599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305</v>
      </c>
      <c r="K43" s="281">
        <v>415.6</v>
      </c>
      <c r="L43" s="281" t="s">
        <v>305</v>
      </c>
      <c r="M43" s="281">
        <v>122.8</v>
      </c>
      <c r="N43" s="281" t="s">
        <v>305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7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112" t="s">
        <v>607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305</v>
      </c>
      <c r="K45" s="281">
        <v>422.5</v>
      </c>
      <c r="L45" s="281" t="s">
        <v>305</v>
      </c>
      <c r="M45" s="281">
        <v>137.1</v>
      </c>
      <c r="N45" s="281" t="s">
        <v>305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113" t="s">
        <v>608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305</v>
      </c>
      <c r="K46" s="323">
        <v>430.1</v>
      </c>
      <c r="L46" s="323" t="s">
        <v>305</v>
      </c>
      <c r="M46" s="323">
        <v>147.30000000000001</v>
      </c>
      <c r="N46" s="323" t="s">
        <v>305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112" t="s">
        <v>600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305</v>
      </c>
      <c r="K47" s="281">
        <v>424.6</v>
      </c>
      <c r="L47" s="281" t="s">
        <v>305</v>
      </c>
      <c r="M47" s="281">
        <v>146.4</v>
      </c>
      <c r="N47" s="281" t="s">
        <v>305</v>
      </c>
      <c r="O47" s="281">
        <v>663.3</v>
      </c>
      <c r="P47" s="281" t="s">
        <v>305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113" t="s">
        <v>609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305</v>
      </c>
      <c r="K48" s="323">
        <v>410.3</v>
      </c>
      <c r="L48" s="323" t="s">
        <v>305</v>
      </c>
      <c r="M48" s="323">
        <v>138.4</v>
      </c>
      <c r="N48" s="323" t="s">
        <v>305</v>
      </c>
      <c r="O48" s="323">
        <v>623.20000000000005</v>
      </c>
      <c r="P48" s="323" t="s">
        <v>305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610</v>
      </c>
      <c r="B49" s="786">
        <v>1246</v>
      </c>
      <c r="C49" s="786" t="s">
        <v>305</v>
      </c>
      <c r="D49" s="786">
        <v>61.6</v>
      </c>
      <c r="E49" s="786">
        <v>50.3</v>
      </c>
      <c r="F49" s="786">
        <v>50.9</v>
      </c>
      <c r="G49" s="786">
        <v>88.6</v>
      </c>
      <c r="H49" s="786">
        <v>273</v>
      </c>
      <c r="I49" s="786">
        <v>180</v>
      </c>
      <c r="J49" s="786" t="s">
        <v>305</v>
      </c>
      <c r="K49" s="786">
        <v>444.7</v>
      </c>
      <c r="L49" s="786" t="s">
        <v>305</v>
      </c>
      <c r="M49" s="786">
        <v>146.5</v>
      </c>
      <c r="N49" s="786" t="s">
        <v>305</v>
      </c>
      <c r="O49" s="786">
        <v>655.5</v>
      </c>
      <c r="P49" s="786" t="s">
        <v>305</v>
      </c>
      <c r="Q49" s="786">
        <v>341</v>
      </c>
      <c r="R49" s="786">
        <v>714.1</v>
      </c>
      <c r="S49" s="786">
        <v>21.5</v>
      </c>
      <c r="T49" s="786">
        <v>15.7</v>
      </c>
      <c r="U49" s="786">
        <v>28.4</v>
      </c>
      <c r="V49" s="269"/>
    </row>
    <row r="50" spans="1:23" ht="11.25" customHeight="1">
      <c r="A50" s="10" t="s">
        <v>762</v>
      </c>
      <c r="B50" s="2322" t="s">
        <v>160</v>
      </c>
      <c r="C50" s="2322"/>
      <c r="D50" s="2322"/>
      <c r="E50" s="2322"/>
      <c r="F50" s="2322"/>
      <c r="G50" s="2322"/>
      <c r="H50" s="28"/>
      <c r="I50" s="28"/>
      <c r="J50" s="28"/>
      <c r="R50" s="1127"/>
      <c r="S50" s="1127"/>
      <c r="T50" s="13"/>
      <c r="U50" s="28"/>
    </row>
    <row r="51" spans="1:23" s="13" customFormat="1" ht="9" customHeight="1">
      <c r="B51" s="2329" t="s">
        <v>161</v>
      </c>
      <c r="C51" s="2329"/>
      <c r="D51" s="2329"/>
      <c r="E51" s="2329"/>
      <c r="F51" s="2329"/>
      <c r="G51" s="2329"/>
      <c r="H51" s="2329"/>
      <c r="I51" s="705"/>
      <c r="J51" s="705"/>
      <c r="K51" s="10" t="s">
        <v>716</v>
      </c>
      <c r="L51" s="2323" t="s">
        <v>1375</v>
      </c>
      <c r="M51" s="2323"/>
      <c r="N51" s="2323"/>
      <c r="O51" s="2323"/>
      <c r="P51" s="2323"/>
      <c r="Q51" s="2323"/>
      <c r="S51" s="1127"/>
      <c r="T51" s="1127"/>
    </row>
    <row r="52" spans="1:23" s="13" customFormat="1" ht="10.5" customHeight="1">
      <c r="B52" s="2322" t="s">
        <v>1301</v>
      </c>
      <c r="C52" s="2322"/>
      <c r="F52" s="90"/>
      <c r="G52" s="145"/>
      <c r="K52" s="13" t="s">
        <v>1537</v>
      </c>
    </row>
    <row r="53" spans="1:23" s="13" customFormat="1" ht="8.25" customHeight="1">
      <c r="A53" s="32"/>
      <c r="F53" s="90"/>
      <c r="G53" s="90"/>
      <c r="I53" s="686"/>
    </row>
    <row r="54" spans="1:23">
      <c r="C54" s="90"/>
      <c r="D54" s="90"/>
      <c r="E54" s="90"/>
      <c r="F54" s="90"/>
      <c r="G54" s="90"/>
      <c r="H54" s="90"/>
      <c r="I54" s="686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6"/>
      <c r="V54" s="686"/>
      <c r="W54" s="90"/>
    </row>
    <row r="55" spans="1:23">
      <c r="C55" s="90"/>
      <c r="D55" s="90"/>
      <c r="E55" s="90"/>
      <c r="F55" s="90"/>
      <c r="G55" s="90"/>
      <c r="H55" s="90"/>
      <c r="I55" s="686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6"/>
      <c r="V55" s="686"/>
      <c r="W55" s="90"/>
    </row>
    <row r="56" spans="1:23">
      <c r="C56" s="90"/>
      <c r="D56" s="90"/>
      <c r="E56" s="90"/>
      <c r="F56" s="90"/>
      <c r="G56" s="90"/>
      <c r="H56" s="90"/>
      <c r="I56" s="686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6"/>
      <c r="V56" s="686"/>
      <c r="W56" s="90"/>
    </row>
    <row r="57" spans="1:23" ht="10.5" customHeight="1">
      <c r="C57" s="90"/>
      <c r="D57" s="90"/>
      <c r="E57" s="90"/>
      <c r="F57" s="90"/>
      <c r="G57" s="90"/>
      <c r="H57" s="90"/>
      <c r="I57" s="686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6"/>
      <c r="V57" s="686"/>
      <c r="W57" s="90"/>
    </row>
    <row r="58" spans="1:23">
      <c r="C58" s="90"/>
      <c r="D58" s="90"/>
      <c r="E58" s="90"/>
      <c r="F58" s="90"/>
      <c r="G58" s="90"/>
      <c r="H58" s="90"/>
      <c r="I58" s="686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6"/>
      <c r="V58" s="686"/>
      <c r="W58" s="90"/>
    </row>
    <row r="59" spans="1:23">
      <c r="C59" s="90"/>
      <c r="D59" s="90"/>
      <c r="E59" s="90"/>
      <c r="F59" s="90"/>
      <c r="G59" s="90"/>
      <c r="H59" s="90"/>
      <c r="I59" s="686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6"/>
      <c r="V59" s="686"/>
      <c r="W59" s="90"/>
    </row>
    <row r="60" spans="1:23">
      <c r="C60" s="90"/>
      <c r="D60" s="90"/>
      <c r="E60" s="90"/>
      <c r="F60" s="90"/>
      <c r="G60" s="90"/>
      <c r="H60" s="90"/>
      <c r="I60" s="686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6"/>
      <c r="V60" s="686"/>
      <c r="W60" s="90"/>
    </row>
    <row r="61" spans="1:23">
      <c r="C61" s="90"/>
      <c r="D61" s="90"/>
      <c r="E61" s="90"/>
      <c r="F61" s="90"/>
      <c r="G61" s="90"/>
      <c r="H61" s="90"/>
      <c r="I61" s="686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6"/>
      <c r="V61" s="686"/>
      <c r="W61" s="90"/>
    </row>
    <row r="62" spans="1:23">
      <c r="C62" s="90"/>
      <c r="D62" s="90"/>
      <c r="E62" s="90"/>
      <c r="F62" s="90"/>
      <c r="G62" s="90"/>
      <c r="H62" s="90"/>
      <c r="I62" s="686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6"/>
      <c r="V62" s="686"/>
      <c r="W62" s="90"/>
    </row>
    <row r="63" spans="1:23">
      <c r="C63" s="90"/>
      <c r="D63" s="90"/>
      <c r="E63" s="90"/>
      <c r="F63" s="90"/>
      <c r="G63" s="90"/>
      <c r="H63" s="90"/>
      <c r="I63" s="686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6"/>
      <c r="V63" s="686"/>
      <c r="W63" s="90"/>
    </row>
    <row r="64" spans="1:23">
      <c r="C64" s="90"/>
      <c r="D64" s="90"/>
      <c r="E64" s="90"/>
      <c r="F64" s="90"/>
      <c r="G64" s="90"/>
      <c r="H64" s="90"/>
      <c r="I64" s="686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6"/>
      <c r="V64" s="686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6"/>
      <c r="V65" s="686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6"/>
      <c r="V66" s="13"/>
      <c r="W66" s="90"/>
    </row>
    <row r="67" spans="3:23">
      <c r="C67" s="90"/>
      <c r="D67" s="90"/>
      <c r="E67" s="90"/>
      <c r="F67" s="90"/>
      <c r="G67" s="90"/>
      <c r="H67" s="90"/>
      <c r="I67" s="6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6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6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6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6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6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6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6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6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45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4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J51" sqref="J5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98" t="s">
        <v>242</v>
      </c>
      <c r="B1" s="2298"/>
      <c r="C1" s="2298"/>
      <c r="D1" s="2298"/>
      <c r="E1" s="2298"/>
      <c r="F1" s="2298"/>
      <c r="G1" s="2298"/>
      <c r="H1" s="2298"/>
      <c r="I1" s="2298"/>
      <c r="J1" s="2335" t="s">
        <v>1422</v>
      </c>
      <c r="K1" s="2335"/>
      <c r="L1" s="2335"/>
      <c r="M1" s="2335"/>
      <c r="N1" s="2335"/>
      <c r="O1" s="2333" t="s">
        <v>1725</v>
      </c>
      <c r="P1" s="2333"/>
    </row>
    <row r="2" spans="1:18" s="21" customFormat="1" ht="9.75" customHeight="1">
      <c r="O2" s="2336" t="s">
        <v>24</v>
      </c>
      <c r="P2" s="2336"/>
    </row>
    <row r="3" spans="1:18" s="81" customFormat="1" ht="13.5" customHeight="1">
      <c r="A3" s="2181" t="s">
        <v>524</v>
      </c>
      <c r="B3" s="2177" t="s">
        <v>241</v>
      </c>
      <c r="C3" s="2178"/>
      <c r="D3" s="2178"/>
      <c r="E3" s="2178"/>
      <c r="F3" s="2178"/>
      <c r="G3" s="2178"/>
      <c r="H3" s="2178"/>
      <c r="I3" s="2178"/>
      <c r="J3" s="2178"/>
      <c r="K3" s="2203"/>
      <c r="L3" s="2177" t="s">
        <v>624</v>
      </c>
      <c r="M3" s="2178"/>
      <c r="N3" s="2178"/>
      <c r="O3" s="2179"/>
      <c r="P3" s="2107" t="s">
        <v>524</v>
      </c>
    </row>
    <row r="4" spans="1:18" s="21" customFormat="1" ht="12.75" customHeight="1">
      <c r="A4" s="2181"/>
      <c r="B4" s="2334" t="s">
        <v>838</v>
      </c>
      <c r="C4" s="2337" t="s">
        <v>293</v>
      </c>
      <c r="D4" s="2086" t="s">
        <v>1020</v>
      </c>
      <c r="E4" s="2086" t="s">
        <v>839</v>
      </c>
      <c r="F4" s="2120" t="s">
        <v>582</v>
      </c>
      <c r="G4" s="2120"/>
      <c r="H4" s="2339" t="s">
        <v>584</v>
      </c>
      <c r="I4" s="2340"/>
      <c r="J4" s="1950" t="s">
        <v>1022</v>
      </c>
      <c r="K4" s="2086" t="s">
        <v>1023</v>
      </c>
      <c r="L4" s="1950" t="s">
        <v>1021</v>
      </c>
      <c r="M4" s="1950" t="s">
        <v>1024</v>
      </c>
      <c r="N4" s="1950" t="s">
        <v>625</v>
      </c>
      <c r="O4" s="1950" t="s">
        <v>585</v>
      </c>
      <c r="P4" s="2108"/>
    </row>
    <row r="5" spans="1:18" s="21" customFormat="1" ht="11.25" customHeight="1">
      <c r="A5" s="2181"/>
      <c r="B5" s="2334"/>
      <c r="C5" s="2338"/>
      <c r="D5" s="2088"/>
      <c r="E5" s="2088"/>
      <c r="F5" s="1695" t="s">
        <v>522</v>
      </c>
      <c r="G5" s="1695" t="s">
        <v>583</v>
      </c>
      <c r="H5" s="1695" t="s">
        <v>522</v>
      </c>
      <c r="I5" s="1695" t="s">
        <v>583</v>
      </c>
      <c r="J5" s="1952"/>
      <c r="K5" s="2088"/>
      <c r="L5" s="1952"/>
      <c r="M5" s="1952"/>
      <c r="N5" s="1952"/>
      <c r="O5" s="1952"/>
      <c r="P5" s="2109"/>
    </row>
    <row r="6" spans="1:18" s="9" customFormat="1" ht="12.95" customHeight="1">
      <c r="A6" s="1694" t="s">
        <v>81</v>
      </c>
      <c r="B6" s="16">
        <v>8997.119999999999</v>
      </c>
      <c r="C6" s="16" t="s">
        <v>305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305</v>
      </c>
      <c r="P6" s="75" t="s">
        <v>81</v>
      </c>
    </row>
    <row r="7" spans="1:18" s="9" customFormat="1" ht="12.95" customHeight="1">
      <c r="A7" s="338" t="s">
        <v>198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198</v>
      </c>
    </row>
    <row r="8" spans="1:18" s="9" customFormat="1" ht="12.95" customHeight="1">
      <c r="A8" s="1434" t="s">
        <v>789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789</v>
      </c>
      <c r="R8" s="171"/>
    </row>
    <row r="9" spans="1:18" s="9" customFormat="1" ht="12.95" customHeight="1">
      <c r="A9" s="338" t="s">
        <v>905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905</v>
      </c>
      <c r="R9" s="171"/>
    </row>
    <row r="10" spans="1:18" s="280" customFormat="1" ht="12.95" customHeight="1">
      <c r="A10" s="1696" t="s">
        <v>1104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1104</v>
      </c>
      <c r="R10" s="281"/>
    </row>
    <row r="11" spans="1:18" s="280" customFormat="1" ht="12.95" customHeight="1">
      <c r="A11" s="1697" t="s">
        <v>1163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1163</v>
      </c>
      <c r="R11" s="281"/>
    </row>
    <row r="12" spans="1:18" s="280" customFormat="1" ht="12.95" customHeight="1">
      <c r="A12" s="1696" t="s">
        <v>1295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1295</v>
      </c>
      <c r="Q12" s="281"/>
    </row>
    <row r="13" spans="1:18" s="280" customFormat="1" ht="12.95" customHeight="1">
      <c r="A13" s="1697" t="s">
        <v>1328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1328</v>
      </c>
      <c r="Q13" s="281"/>
    </row>
    <row r="14" spans="1:18" s="280" customFormat="1" ht="12.95" customHeight="1">
      <c r="A14" s="1696" t="s">
        <v>1467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1467</v>
      </c>
      <c r="Q14" s="281"/>
    </row>
    <row r="15" spans="1:18" s="280" customFormat="1" ht="12.95" customHeight="1">
      <c r="A15" s="1697" t="s">
        <v>1596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1596</v>
      </c>
      <c r="Q15" s="281"/>
    </row>
    <row r="16" spans="1:18" s="175" customFormat="1" ht="12.95" customHeight="1">
      <c r="A16" s="1698" t="s">
        <v>1691</v>
      </c>
      <c r="B16" s="952">
        <v>23559.5</v>
      </c>
      <c r="C16" s="952">
        <v>1.0300000000000002</v>
      </c>
      <c r="D16" s="952">
        <v>2279.4000000000005</v>
      </c>
      <c r="E16" s="952">
        <v>70501.5</v>
      </c>
      <c r="F16" s="952">
        <v>56080.7</v>
      </c>
      <c r="G16" s="952">
        <v>30016.640000000007</v>
      </c>
      <c r="H16" s="952">
        <v>25471.140000000003</v>
      </c>
      <c r="I16" s="952">
        <v>6975.1500000000005</v>
      </c>
      <c r="J16" s="952">
        <v>1566.73</v>
      </c>
      <c r="K16" s="952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1691</v>
      </c>
    </row>
    <row r="17" spans="1:18" s="175" customFormat="1" ht="12.95" customHeight="1">
      <c r="A17" s="1699" t="s">
        <v>1760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1760</v>
      </c>
    </row>
    <row r="18" spans="1:18" s="175" customFormat="1" ht="12.95" customHeight="1">
      <c r="A18" s="263" t="s">
        <v>603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5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603</v>
      </c>
      <c r="R18" s="269"/>
    </row>
    <row r="19" spans="1:18" s="175" customFormat="1" ht="12.95" customHeight="1">
      <c r="A19" s="639" t="s">
        <v>604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604</v>
      </c>
      <c r="R19" s="269"/>
    </row>
    <row r="20" spans="1:18" s="175" customFormat="1" ht="12.95" customHeight="1">
      <c r="A20" s="263" t="s">
        <v>598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598</v>
      </c>
      <c r="R20" s="269"/>
    </row>
    <row r="21" spans="1:18" s="175" customFormat="1" ht="12.95" customHeight="1">
      <c r="A21" s="639" t="s">
        <v>605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605</v>
      </c>
      <c r="R21" s="269"/>
    </row>
    <row r="22" spans="1:18" s="175" customFormat="1" ht="12.95" customHeight="1">
      <c r="A22" s="263" t="s">
        <v>606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606</v>
      </c>
      <c r="R22" s="269"/>
    </row>
    <row r="23" spans="1:18" s="175" customFormat="1" ht="12.95" customHeight="1">
      <c r="A23" s="639" t="s">
        <v>599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599</v>
      </c>
      <c r="R23" s="269"/>
    </row>
    <row r="24" spans="1:18" s="175" customFormat="1" ht="12.95" customHeight="1">
      <c r="A24" s="263" t="s">
        <v>607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607</v>
      </c>
      <c r="R24" s="269"/>
    </row>
    <row r="25" spans="1:18" s="175" customFormat="1" ht="12.95" customHeight="1">
      <c r="A25" s="639" t="s">
        <v>608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608</v>
      </c>
      <c r="R25" s="269"/>
    </row>
    <row r="26" spans="1:18" s="175" customFormat="1" ht="12.95" customHeight="1">
      <c r="A26" s="263" t="s">
        <v>600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600</v>
      </c>
      <c r="R26" s="269"/>
    </row>
    <row r="27" spans="1:18" s="175" customFormat="1" ht="12.95" customHeight="1">
      <c r="A27" s="639" t="s">
        <v>609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609</v>
      </c>
      <c r="R27" s="269"/>
    </row>
    <row r="28" spans="1:18" s="175" customFormat="1" ht="12.95" customHeight="1">
      <c r="A28" s="263" t="s">
        <v>610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610</v>
      </c>
    </row>
    <row r="29" spans="1:18" s="175" customFormat="1" ht="12.95" customHeight="1">
      <c r="A29" s="639" t="s">
        <v>601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601</v>
      </c>
    </row>
    <row r="30" spans="1:18" s="175" customFormat="1" ht="12.95" customHeight="1">
      <c r="A30" s="984" t="s">
        <v>2159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>
        <f t="shared" si="2"/>
        <v>124.69</v>
      </c>
      <c r="N30" s="374">
        <f t="shared" si="2"/>
        <v>230.06</v>
      </c>
      <c r="O30" s="374">
        <f t="shared" si="2"/>
        <v>10402.980000000001</v>
      </c>
      <c r="P30" s="398" t="s">
        <v>2159</v>
      </c>
    </row>
    <row r="31" spans="1:18" s="175" customFormat="1" ht="12.95" customHeight="1">
      <c r="A31" s="639" t="s">
        <v>603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603</v>
      </c>
    </row>
    <row r="32" spans="1:18" s="175" customFormat="1" ht="12.95" customHeight="1">
      <c r="A32" s="263" t="s">
        <v>604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604</v>
      </c>
    </row>
    <row r="33" spans="1:16" s="175" customFormat="1" ht="13.35" customHeight="1">
      <c r="A33" s="639" t="s">
        <v>598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598</v>
      </c>
    </row>
    <row r="34" spans="1:16" s="175" customFormat="1" ht="13.35" customHeight="1">
      <c r="A34" s="263" t="s">
        <v>605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605</v>
      </c>
    </row>
    <row r="35" spans="1:16" s="175" customFormat="1" ht="13.35" customHeight="1">
      <c r="A35" s="639" t="s">
        <v>606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606</v>
      </c>
    </row>
    <row r="36" spans="1:16" s="175" customFormat="1" ht="13.35" customHeight="1">
      <c r="A36" s="263" t="s">
        <v>599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599</v>
      </c>
    </row>
    <row r="37" spans="1:16" s="175" customFormat="1" ht="13.35" customHeight="1">
      <c r="A37" s="639" t="s">
        <v>607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607</v>
      </c>
    </row>
    <row r="38" spans="1:16" s="175" customFormat="1" ht="13.35" customHeight="1">
      <c r="A38" s="263" t="s">
        <v>608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608</v>
      </c>
    </row>
    <row r="39" spans="1:16" s="175" customFormat="1" ht="13.35" customHeight="1">
      <c r="A39" s="639" t="s">
        <v>600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600</v>
      </c>
    </row>
    <row r="40" spans="1:16" s="175" customFormat="1" ht="13.35" customHeight="1">
      <c r="A40" s="263" t="s">
        <v>609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609</v>
      </c>
    </row>
    <row r="41" spans="1:16" s="175" customFormat="1" ht="13.35" customHeight="1">
      <c r="A41" s="639" t="s">
        <v>610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610</v>
      </c>
    </row>
    <row r="42" spans="1:16" s="175" customFormat="1" ht="13.35" customHeight="1">
      <c r="A42" s="263" t="s">
        <v>601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>
        <v>14.79</v>
      </c>
      <c r="N42" s="281">
        <v>110.78</v>
      </c>
      <c r="O42" s="281">
        <v>1284.81</v>
      </c>
      <c r="P42" s="228" t="s">
        <v>601</v>
      </c>
    </row>
    <row r="43" spans="1:16" s="175" customFormat="1" ht="13.35" customHeight="1">
      <c r="A43" s="1621" t="s">
        <v>2476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2476</v>
      </c>
    </row>
    <row r="44" spans="1:16" s="175" customFormat="1" ht="13.35" customHeight="1">
      <c r="A44" s="263" t="s">
        <v>603</v>
      </c>
      <c r="B44" s="281">
        <v>2692.53</v>
      </c>
      <c r="C44" s="281">
        <v>0.7</v>
      </c>
      <c r="D44" s="281">
        <v>4768.28</v>
      </c>
      <c r="E44" s="281">
        <v>4659.8599999999997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17821.09</v>
      </c>
      <c r="L44" s="281">
        <v>44.05</v>
      </c>
      <c r="M44" s="281">
        <v>4.9000000000000004</v>
      </c>
      <c r="N44" s="281">
        <v>6.43</v>
      </c>
      <c r="O44" s="281">
        <v>1011.8</v>
      </c>
      <c r="P44" s="228" t="s">
        <v>603</v>
      </c>
    </row>
    <row r="45" spans="1:16" s="175" customFormat="1" ht="13.35" customHeight="1">
      <c r="A45" s="639" t="s">
        <v>604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>
        <v>68.16</v>
      </c>
      <c r="M45" s="323">
        <v>9.11</v>
      </c>
      <c r="N45" s="323">
        <v>7.59</v>
      </c>
      <c r="O45" s="323">
        <v>1235.6600000000001</v>
      </c>
      <c r="P45" s="333" t="s">
        <v>604</v>
      </c>
    </row>
    <row r="46" spans="1:16" s="175" customFormat="1" ht="13.35" customHeight="1">
      <c r="A46" s="263" t="s">
        <v>598</v>
      </c>
      <c r="B46" s="281">
        <v>3026.84</v>
      </c>
      <c r="C46" s="281">
        <v>0.24</v>
      </c>
      <c r="D46" s="281">
        <v>142.9</v>
      </c>
      <c r="E46" s="281">
        <v>9606.2900000000009</v>
      </c>
      <c r="F46" s="281">
        <v>6178.06</v>
      </c>
      <c r="G46" s="281">
        <v>3732.29</v>
      </c>
      <c r="H46" s="281">
        <v>3105.3</v>
      </c>
      <c r="I46" s="281">
        <v>831.97</v>
      </c>
      <c r="J46" s="281">
        <f>0.05+87.31+122.68</f>
        <v>210.04000000000002</v>
      </c>
      <c r="K46" s="281">
        <f>SUM(B46:J46)</f>
        <v>26833.930000000004</v>
      </c>
      <c r="L46" s="281">
        <v>93.55</v>
      </c>
      <c r="M46" s="281">
        <v>10.07</v>
      </c>
      <c r="N46" s="281">
        <v>7.57</v>
      </c>
      <c r="O46" s="281">
        <v>1192.28</v>
      </c>
      <c r="P46" s="228" t="s">
        <v>598</v>
      </c>
    </row>
    <row r="47" spans="1:16" s="175" customFormat="1" ht="13.35" customHeight="1">
      <c r="A47" s="639" t="s">
        <v>605</v>
      </c>
      <c r="B47" s="323">
        <v>2979.88</v>
      </c>
      <c r="C47" s="323">
        <v>0.19</v>
      </c>
      <c r="D47" s="323">
        <v>158.94999999999999</v>
      </c>
      <c r="E47" s="323">
        <v>6527.94</v>
      </c>
      <c r="F47" s="323">
        <v>6392.95</v>
      </c>
      <c r="G47" s="323">
        <v>3666.87</v>
      </c>
      <c r="H47" s="323">
        <v>3023.35</v>
      </c>
      <c r="I47" s="323">
        <v>834.99</v>
      </c>
      <c r="J47" s="323">
        <f>0.02+75.37+129.79</f>
        <v>205.18</v>
      </c>
      <c r="K47" s="323">
        <f>SUM(B47:J47)</f>
        <v>23790.3</v>
      </c>
      <c r="L47" s="323">
        <v>70.59</v>
      </c>
      <c r="M47" s="323" t="s">
        <v>305</v>
      </c>
      <c r="N47" s="323" t="s">
        <v>305</v>
      </c>
      <c r="O47" s="323">
        <v>1235.6600000000001</v>
      </c>
      <c r="P47" s="333" t="s">
        <v>605</v>
      </c>
    </row>
    <row r="48" spans="1:16" s="175" customFormat="1" ht="12" thickBot="1">
      <c r="A48" s="1712" t="s">
        <v>606</v>
      </c>
      <c r="B48" s="786">
        <v>3235.26</v>
      </c>
      <c r="C48" s="786">
        <v>0.21</v>
      </c>
      <c r="D48" s="786">
        <v>164.81</v>
      </c>
      <c r="E48" s="786">
        <v>6473</v>
      </c>
      <c r="F48" s="786">
        <v>6628.49</v>
      </c>
      <c r="G48" s="786">
        <v>3981.12</v>
      </c>
      <c r="H48" s="786">
        <v>3134.74</v>
      </c>
      <c r="I48" s="786">
        <v>906.55</v>
      </c>
      <c r="J48" s="786">
        <f>0.02+78.15+120.42</f>
        <v>198.59</v>
      </c>
      <c r="K48" s="786">
        <f>SUM(B48:J48)</f>
        <v>24722.769999999997</v>
      </c>
      <c r="L48" s="786" t="s">
        <v>305</v>
      </c>
      <c r="M48" s="786" t="s">
        <v>305</v>
      </c>
      <c r="N48" s="786" t="s">
        <v>305</v>
      </c>
      <c r="O48" s="786" t="s">
        <v>305</v>
      </c>
      <c r="P48" s="1686" t="s">
        <v>606</v>
      </c>
    </row>
    <row r="49" spans="1:16" s="8" customFormat="1">
      <c r="A49" s="123" t="s">
        <v>2391</v>
      </c>
      <c r="B49" s="92"/>
      <c r="C49" s="92"/>
      <c r="D49" s="92"/>
      <c r="E49" s="92"/>
      <c r="F49" s="708"/>
      <c r="G49" s="708"/>
      <c r="H49" s="9"/>
      <c r="I49" s="9"/>
      <c r="O49" s="92"/>
      <c r="P49" s="92"/>
    </row>
    <row r="50" spans="1:16">
      <c r="A50" s="92" t="s">
        <v>2390</v>
      </c>
      <c r="B50" s="92"/>
      <c r="G50" s="8"/>
      <c r="H50" s="33"/>
      <c r="I50" s="8"/>
      <c r="O50" s="92"/>
      <c r="P50" s="92"/>
    </row>
    <row r="51" spans="1:16">
      <c r="B51" s="523"/>
      <c r="C51" s="523"/>
      <c r="D51" s="523"/>
      <c r="E51" s="523"/>
      <c r="F51" s="90"/>
      <c r="G51" s="523"/>
      <c r="H51" s="523"/>
      <c r="I51" s="523"/>
      <c r="J51" s="523"/>
      <c r="K51" s="523"/>
    </row>
    <row r="52" spans="1:16">
      <c r="F52" s="90"/>
      <c r="J52" s="523"/>
      <c r="K52" s="281"/>
    </row>
    <row r="53" spans="1:16">
      <c r="F53" s="90"/>
      <c r="J53" s="523"/>
      <c r="K53" s="281"/>
      <c r="L53" s="523"/>
    </row>
    <row r="54" spans="1:16">
      <c r="B54" s="523"/>
      <c r="C54" s="523"/>
      <c r="D54" s="523"/>
      <c r="E54" s="523"/>
      <c r="F54" s="90"/>
      <c r="G54" s="523"/>
      <c r="H54" s="523"/>
      <c r="I54" s="523"/>
      <c r="J54" s="523"/>
      <c r="K54" s="281"/>
      <c r="L54" s="523"/>
    </row>
    <row r="55" spans="1:16">
      <c r="B55" s="523"/>
      <c r="C55" s="523"/>
      <c r="D55" s="523"/>
      <c r="E55" s="523"/>
      <c r="F55" s="90"/>
      <c r="G55" s="523"/>
      <c r="H55" s="523"/>
      <c r="I55" s="523"/>
      <c r="J55" s="523"/>
      <c r="K55" s="281"/>
      <c r="L55" s="523"/>
    </row>
    <row r="56" spans="1:16">
      <c r="F56" s="90"/>
      <c r="J56" s="523"/>
      <c r="K56" s="281"/>
      <c r="L56" s="523"/>
    </row>
    <row r="57" spans="1:16">
      <c r="F57" s="90"/>
      <c r="J57" s="523"/>
      <c r="K57" s="281"/>
      <c r="L57" s="523"/>
    </row>
    <row r="58" spans="1:16">
      <c r="F58" s="90"/>
      <c r="K58" s="281"/>
      <c r="L58" s="523"/>
    </row>
    <row r="59" spans="1:16">
      <c r="B59" s="523"/>
      <c r="C59" s="523"/>
      <c r="D59" s="523"/>
      <c r="E59" s="523"/>
      <c r="F59" s="90"/>
      <c r="G59" s="523"/>
      <c r="H59" s="523"/>
      <c r="I59" s="523"/>
      <c r="J59" s="523"/>
      <c r="K59" s="281"/>
      <c r="L59" s="523"/>
    </row>
    <row r="60" spans="1:16">
      <c r="B60" s="523"/>
      <c r="C60" s="523"/>
      <c r="D60" s="523"/>
      <c r="E60" s="523"/>
      <c r="F60" s="523"/>
      <c r="G60" s="523"/>
      <c r="H60" s="523"/>
      <c r="I60" s="523"/>
      <c r="J60" s="523"/>
      <c r="K60" s="281"/>
      <c r="L60" s="523"/>
    </row>
    <row r="61" spans="1:16">
      <c r="B61" s="523"/>
      <c r="C61" s="523"/>
      <c r="D61" s="523"/>
      <c r="E61" s="523"/>
      <c r="F61" s="523"/>
      <c r="G61" s="523"/>
      <c r="H61" s="523"/>
      <c r="I61" s="523"/>
      <c r="J61" s="523"/>
      <c r="K61" s="281"/>
      <c r="L61" s="523"/>
    </row>
    <row r="62" spans="1:16">
      <c r="B62" s="523"/>
      <c r="C62" s="523"/>
      <c r="D62" s="523"/>
      <c r="E62" s="523"/>
      <c r="F62" s="523"/>
      <c r="G62" s="523"/>
      <c r="H62" s="523"/>
      <c r="I62" s="523"/>
      <c r="J62" s="523"/>
      <c r="K62" s="523"/>
      <c r="L62" s="523"/>
    </row>
    <row r="63" spans="1:16">
      <c r="B63" s="523"/>
      <c r="C63" s="523"/>
      <c r="D63" s="523"/>
      <c r="E63" s="523"/>
      <c r="F63" s="523"/>
      <c r="G63" s="523"/>
      <c r="H63" s="523"/>
      <c r="I63" s="523"/>
      <c r="J63" s="523"/>
      <c r="K63" s="523"/>
    </row>
    <row r="64" spans="1:16">
      <c r="B64" s="523"/>
      <c r="C64" s="523"/>
      <c r="D64" s="523"/>
      <c r="E64" s="523"/>
      <c r="F64" s="523"/>
      <c r="G64" s="523"/>
      <c r="H64" s="523"/>
      <c r="I64" s="523"/>
      <c r="J64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45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77"/>
  <sheetViews>
    <sheetView zoomScale="120" zoomScaleNormal="120" workbookViewId="0">
      <pane xSplit="1" ySplit="5" topLeftCell="B33" activePane="bottomRight" state="frozen"/>
      <selection activeCell="L47" sqref="L47"/>
      <selection pane="topRight" activeCell="L47" sqref="L47"/>
      <selection pane="bottomLeft" activeCell="L47" sqref="L47"/>
      <selection pane="bottomRight" activeCell="D13" sqref="D13"/>
    </sheetView>
  </sheetViews>
  <sheetFormatPr defaultColWidth="8.85546875" defaultRowHeight="15"/>
  <cols>
    <col min="1" max="1" width="8.140625" style="769" customWidth="1"/>
    <col min="2" max="2" width="8.42578125" style="769" customWidth="1"/>
    <col min="3" max="3" width="10.42578125" style="769" customWidth="1"/>
    <col min="4" max="4" width="8.42578125" style="769" customWidth="1"/>
    <col min="5" max="5" width="9.140625" style="769" bestFit="1" customWidth="1"/>
    <col min="6" max="6" width="8" style="769" customWidth="1"/>
    <col min="7" max="7" width="9.28515625" style="769" customWidth="1"/>
    <col min="8" max="8" width="10.28515625" style="769" customWidth="1"/>
    <col min="9" max="9" width="10.140625" style="769" customWidth="1"/>
    <col min="10" max="10" width="11" style="769" customWidth="1"/>
    <col min="11" max="11" width="8" style="769" customWidth="1"/>
    <col min="12" max="12" width="9" style="769" customWidth="1"/>
    <col min="13" max="13" width="7.28515625" style="769" customWidth="1"/>
    <col min="14" max="14" width="7.85546875" style="769" customWidth="1"/>
    <col min="15" max="15" width="5.28515625" style="769" customWidth="1"/>
    <col min="16" max="16" width="7.85546875" style="769" customWidth="1"/>
    <col min="17" max="17" width="7.42578125" style="769" customWidth="1"/>
    <col min="18" max="18" width="8.140625" style="769" customWidth="1"/>
    <col min="19" max="16384" width="8.85546875" style="769"/>
  </cols>
  <sheetData>
    <row r="1" spans="1:19" s="767" customFormat="1" ht="17.45" customHeight="1">
      <c r="A1" s="766"/>
      <c r="G1" s="776" t="s">
        <v>2212</v>
      </c>
      <c r="I1" s="768"/>
      <c r="J1" s="776" t="s">
        <v>1585</v>
      </c>
      <c r="K1" s="777"/>
      <c r="L1" s="768"/>
      <c r="M1" s="768"/>
      <c r="R1" s="2341" t="s">
        <v>1724</v>
      </c>
      <c r="S1" s="2341"/>
    </row>
    <row r="2" spans="1:19" ht="21">
      <c r="C2" s="770"/>
      <c r="R2" s="2342" t="s">
        <v>24</v>
      </c>
      <c r="S2" s="2342"/>
    </row>
    <row r="3" spans="1:19" ht="13.9" customHeight="1">
      <c r="A3" s="2351" t="s">
        <v>518</v>
      </c>
      <c r="B3" s="2343" t="s">
        <v>525</v>
      </c>
      <c r="C3" s="2343" t="s">
        <v>1575</v>
      </c>
      <c r="D3" s="2345" t="s">
        <v>1568</v>
      </c>
      <c r="E3" s="2345"/>
      <c r="F3" s="2345"/>
      <c r="G3" s="2347" t="s">
        <v>1555</v>
      </c>
      <c r="H3" s="2348" t="s">
        <v>1569</v>
      </c>
      <c r="I3" s="2349"/>
      <c r="J3" s="2349"/>
      <c r="K3" s="2349"/>
      <c r="L3" s="2350"/>
      <c r="M3" s="2347" t="s">
        <v>1594</v>
      </c>
      <c r="N3" s="2347" t="s">
        <v>1595</v>
      </c>
      <c r="O3" s="2347" t="s">
        <v>1556</v>
      </c>
      <c r="P3" s="2346" t="s">
        <v>1557</v>
      </c>
      <c r="Q3" s="2347" t="s">
        <v>1558</v>
      </c>
      <c r="R3" s="2347" t="s">
        <v>1559</v>
      </c>
      <c r="S3" s="2347" t="s">
        <v>1560</v>
      </c>
    </row>
    <row r="4" spans="1:19" ht="90.75" customHeight="1">
      <c r="A4" s="2351"/>
      <c r="B4" s="2344"/>
      <c r="C4" s="2344"/>
      <c r="D4" s="1282" t="s">
        <v>1576</v>
      </c>
      <c r="E4" s="1282" t="s">
        <v>1574</v>
      </c>
      <c r="F4" s="1367" t="s">
        <v>1572</v>
      </c>
      <c r="G4" s="2347"/>
      <c r="H4" s="1282" t="s">
        <v>124</v>
      </c>
      <c r="I4" s="1282" t="s">
        <v>1586</v>
      </c>
      <c r="J4" s="1282" t="s">
        <v>1593</v>
      </c>
      <c r="K4" s="1282" t="s">
        <v>1723</v>
      </c>
      <c r="L4" s="1282" t="s">
        <v>1573</v>
      </c>
      <c r="M4" s="2347"/>
      <c r="N4" s="2347"/>
      <c r="O4" s="2347"/>
      <c r="P4" s="2346"/>
      <c r="Q4" s="2347"/>
      <c r="R4" s="2347"/>
      <c r="S4" s="2347"/>
    </row>
    <row r="5" spans="1:19" ht="17.25" customHeight="1">
      <c r="A5" s="2351"/>
      <c r="B5" s="775">
        <v>1</v>
      </c>
      <c r="C5" s="775">
        <v>2</v>
      </c>
      <c r="D5" s="775">
        <v>3</v>
      </c>
      <c r="E5" s="775">
        <v>4</v>
      </c>
      <c r="F5" s="775">
        <v>5</v>
      </c>
      <c r="G5" s="775">
        <v>6</v>
      </c>
      <c r="H5" s="775">
        <v>7</v>
      </c>
      <c r="I5" s="775">
        <v>8</v>
      </c>
      <c r="J5" s="775">
        <v>9</v>
      </c>
      <c r="K5" s="775">
        <v>10</v>
      </c>
      <c r="L5" s="775">
        <v>11</v>
      </c>
      <c r="M5" s="775">
        <v>12</v>
      </c>
      <c r="N5" s="775">
        <v>13</v>
      </c>
      <c r="O5" s="775">
        <v>14</v>
      </c>
      <c r="P5" s="775">
        <v>15</v>
      </c>
      <c r="Q5" s="775">
        <v>16</v>
      </c>
      <c r="R5" s="775">
        <v>17</v>
      </c>
      <c r="S5" s="775">
        <v>18</v>
      </c>
    </row>
    <row r="6" spans="1:19" ht="12.2" customHeight="1">
      <c r="A6" s="1499" t="s">
        <v>1467</v>
      </c>
      <c r="B6" s="1498">
        <v>253510</v>
      </c>
      <c r="C6" s="1498">
        <v>7347.2</v>
      </c>
      <c r="D6" s="1498">
        <v>22375.9</v>
      </c>
      <c r="E6" s="1498">
        <v>9706.7000000000007</v>
      </c>
      <c r="F6" s="1498">
        <v>12669.2</v>
      </c>
      <c r="G6" s="1498">
        <v>5756.5</v>
      </c>
      <c r="H6" s="1498">
        <v>153411.20000000001</v>
      </c>
      <c r="I6" s="1498">
        <v>78799.199999999997</v>
      </c>
      <c r="J6" s="1498">
        <v>3.3</v>
      </c>
      <c r="K6" s="1498">
        <v>0</v>
      </c>
      <c r="L6" s="1498">
        <v>232213.7</v>
      </c>
      <c r="M6" s="1498">
        <v>345.5</v>
      </c>
      <c r="N6" s="1498">
        <v>0</v>
      </c>
      <c r="O6" s="1498">
        <v>0</v>
      </c>
      <c r="P6" s="1498">
        <v>0</v>
      </c>
      <c r="Q6" s="1498">
        <v>0</v>
      </c>
      <c r="R6" s="1498">
        <v>30308.5</v>
      </c>
      <c r="S6" s="1498">
        <v>16415.2</v>
      </c>
    </row>
    <row r="7" spans="1:19" ht="12.2" customHeight="1">
      <c r="A7" s="1589" t="s">
        <v>1596</v>
      </c>
      <c r="B7" s="1590">
        <v>257195.6</v>
      </c>
      <c r="C7" s="1590">
        <v>7031.1</v>
      </c>
      <c r="D7" s="1590">
        <v>32153.4</v>
      </c>
      <c r="E7" s="1590">
        <v>10645.9</v>
      </c>
      <c r="F7" s="1590">
        <v>21507.5</v>
      </c>
      <c r="G7" s="1590">
        <v>5537.7</v>
      </c>
      <c r="H7" s="1590">
        <v>168858.3</v>
      </c>
      <c r="I7" s="1590">
        <v>75787.5</v>
      </c>
      <c r="J7" s="1590">
        <v>13.1</v>
      </c>
      <c r="K7" s="1590">
        <v>0</v>
      </c>
      <c r="L7" s="1590">
        <v>244658.9</v>
      </c>
      <c r="M7" s="1590">
        <v>411.8</v>
      </c>
      <c r="N7" s="1590">
        <v>0</v>
      </c>
      <c r="O7" s="1590">
        <v>0</v>
      </c>
      <c r="P7" s="1590">
        <v>0</v>
      </c>
      <c r="Q7" s="1590">
        <v>0</v>
      </c>
      <c r="R7" s="1590">
        <v>33548.6</v>
      </c>
      <c r="S7" s="1590">
        <v>12652.6</v>
      </c>
    </row>
    <row r="8" spans="1:19" s="951" customFormat="1" ht="12.2" customHeight="1">
      <c r="A8" s="1500" t="s">
        <v>1691</v>
      </c>
      <c r="B8" s="1283">
        <v>286040.90000000002</v>
      </c>
      <c r="C8" s="1283">
        <v>15922.6</v>
      </c>
      <c r="D8" s="1283">
        <v>47201.9</v>
      </c>
      <c r="E8" s="1283">
        <v>14955.8</v>
      </c>
      <c r="F8" s="1283">
        <v>32246.100000000002</v>
      </c>
      <c r="G8" s="1283">
        <v>5752</v>
      </c>
      <c r="H8" s="1283">
        <v>206552.2</v>
      </c>
      <c r="I8" s="1283">
        <v>76360.399999999994</v>
      </c>
      <c r="J8" s="1283">
        <v>28.9</v>
      </c>
      <c r="K8" s="1283">
        <v>0</v>
      </c>
      <c r="L8" s="1283">
        <v>282941.5</v>
      </c>
      <c r="M8" s="1283">
        <v>1272.5</v>
      </c>
      <c r="N8" s="1283">
        <v>0</v>
      </c>
      <c r="O8" s="1283">
        <v>0</v>
      </c>
      <c r="P8" s="1283">
        <v>0</v>
      </c>
      <c r="Q8" s="1283">
        <v>0</v>
      </c>
      <c r="R8" s="1283">
        <v>36493.599999999999</v>
      </c>
      <c r="S8" s="1283">
        <v>19254</v>
      </c>
    </row>
    <row r="9" spans="1:19" s="951" customFormat="1" ht="12.2" customHeight="1">
      <c r="A9" s="1501" t="s">
        <v>1760</v>
      </c>
      <c r="B9" s="1286">
        <f>B21</f>
        <v>366917.3</v>
      </c>
      <c r="C9" s="1286">
        <f t="shared" ref="C9:S9" si="0">C21</f>
        <v>22091.200000000001</v>
      </c>
      <c r="D9" s="1286">
        <f t="shared" si="0"/>
        <v>33870.800000000003</v>
      </c>
      <c r="E9" s="1286">
        <f t="shared" si="0"/>
        <v>25244.5</v>
      </c>
      <c r="F9" s="1286">
        <f t="shared" si="0"/>
        <v>8626.3000000000029</v>
      </c>
      <c r="G9" s="1286">
        <f t="shared" si="0"/>
        <v>5935.6</v>
      </c>
      <c r="H9" s="1286">
        <f t="shared" si="0"/>
        <v>225322.2</v>
      </c>
      <c r="I9" s="1286">
        <f t="shared" si="0"/>
        <v>121126</v>
      </c>
      <c r="J9" s="1286">
        <f t="shared" si="0"/>
        <v>57.5</v>
      </c>
      <c r="K9" s="1286">
        <f t="shared" si="0"/>
        <v>0</v>
      </c>
      <c r="L9" s="1286">
        <f t="shared" si="0"/>
        <v>346505.7</v>
      </c>
      <c r="M9" s="1286">
        <f t="shared" si="0"/>
        <v>1529.9</v>
      </c>
      <c r="N9" s="1286">
        <f t="shared" si="0"/>
        <v>0</v>
      </c>
      <c r="O9" s="1286">
        <f t="shared" si="0"/>
        <v>0</v>
      </c>
      <c r="P9" s="1286">
        <f t="shared" si="0"/>
        <v>0</v>
      </c>
      <c r="Q9" s="1286">
        <f t="shared" si="0"/>
        <v>0</v>
      </c>
      <c r="R9" s="1286">
        <f t="shared" si="0"/>
        <v>43524.7</v>
      </c>
      <c r="S9" s="1286">
        <f t="shared" si="0"/>
        <v>12010.1</v>
      </c>
    </row>
    <row r="10" spans="1:19" s="951" customFormat="1" ht="12.2" customHeight="1">
      <c r="A10" s="950" t="s">
        <v>603</v>
      </c>
      <c r="B10" s="1285">
        <v>297267.3</v>
      </c>
      <c r="C10" s="1285">
        <v>15894.6</v>
      </c>
      <c r="D10" s="1285">
        <v>44884.800000000003</v>
      </c>
      <c r="E10" s="1285">
        <v>15935.8</v>
      </c>
      <c r="F10" s="1285">
        <f t="shared" ref="F10:F33" si="1">D10-E10</f>
        <v>28949.000000000004</v>
      </c>
      <c r="G10" s="1285">
        <v>5741.8</v>
      </c>
      <c r="H10" s="1285">
        <v>223127.4</v>
      </c>
      <c r="I10" s="1285">
        <v>67214.7</v>
      </c>
      <c r="J10" s="1285">
        <v>29.5</v>
      </c>
      <c r="K10" s="1285">
        <v>0</v>
      </c>
      <c r="L10" s="1285">
        <f t="shared" ref="L10:L40" si="2">H10+I10+J10+K10</f>
        <v>290371.59999999998</v>
      </c>
      <c r="M10" s="1285">
        <v>829.2</v>
      </c>
      <c r="N10" s="1285">
        <v>0</v>
      </c>
      <c r="O10" s="1285">
        <v>0</v>
      </c>
      <c r="P10" s="1285">
        <v>0</v>
      </c>
      <c r="Q10" s="1285">
        <v>0</v>
      </c>
      <c r="R10" s="1285">
        <v>38672.9</v>
      </c>
      <c r="S10" s="1285">
        <v>17979</v>
      </c>
    </row>
    <row r="11" spans="1:19" s="951" customFormat="1" ht="12.2" customHeight="1">
      <c r="A11" s="949" t="s">
        <v>604</v>
      </c>
      <c r="B11" s="1284">
        <v>307682.09999999998</v>
      </c>
      <c r="C11" s="1284">
        <v>11207</v>
      </c>
      <c r="D11" s="1284">
        <v>36664.400000000001</v>
      </c>
      <c r="E11" s="1284">
        <v>23318.7</v>
      </c>
      <c r="F11" s="1284">
        <f t="shared" si="1"/>
        <v>13345.7</v>
      </c>
      <c r="G11" s="1284">
        <v>5754</v>
      </c>
      <c r="H11" s="1284">
        <v>210318.5</v>
      </c>
      <c r="I11" s="1284">
        <v>70109</v>
      </c>
      <c r="J11" s="1284">
        <v>52.6</v>
      </c>
      <c r="K11" s="1284">
        <v>0</v>
      </c>
      <c r="L11" s="1284">
        <f t="shared" si="2"/>
        <v>280480.09999999998</v>
      </c>
      <c r="M11" s="1284">
        <v>3895.1</v>
      </c>
      <c r="N11" s="1284">
        <v>0</v>
      </c>
      <c r="O11" s="1284">
        <v>0</v>
      </c>
      <c r="P11" s="1284">
        <v>0</v>
      </c>
      <c r="Q11" s="1284">
        <v>0</v>
      </c>
      <c r="R11" s="1284">
        <v>40088.1</v>
      </c>
      <c r="S11" s="1284">
        <v>13525.5</v>
      </c>
    </row>
    <row r="12" spans="1:19" s="951" customFormat="1" ht="12.2" customHeight="1">
      <c r="A12" s="950" t="s">
        <v>598</v>
      </c>
      <c r="B12" s="1285">
        <v>313615.5</v>
      </c>
      <c r="C12" s="1285">
        <v>11994.1</v>
      </c>
      <c r="D12" s="1285">
        <v>34017.1</v>
      </c>
      <c r="E12" s="1285">
        <v>30769.599999999999</v>
      </c>
      <c r="F12" s="1285">
        <f t="shared" si="1"/>
        <v>3247.5</v>
      </c>
      <c r="G12" s="1285">
        <v>5782.9</v>
      </c>
      <c r="H12" s="1285">
        <v>204033.4</v>
      </c>
      <c r="I12" s="1285">
        <v>75239.3</v>
      </c>
      <c r="J12" s="1285">
        <v>5.9</v>
      </c>
      <c r="K12" s="1285">
        <v>0</v>
      </c>
      <c r="L12" s="1285">
        <f t="shared" si="2"/>
        <v>279278.60000000003</v>
      </c>
      <c r="M12" s="1285">
        <v>1447.3</v>
      </c>
      <c r="N12" s="1285">
        <v>0</v>
      </c>
      <c r="O12" s="1285">
        <v>0</v>
      </c>
      <c r="P12" s="1285">
        <v>0</v>
      </c>
      <c r="Q12" s="1285">
        <v>0</v>
      </c>
      <c r="R12" s="1285">
        <v>39175.1</v>
      </c>
      <c r="S12" s="1285">
        <v>14739</v>
      </c>
    </row>
    <row r="13" spans="1:19" s="951" customFormat="1" ht="12.2" customHeight="1">
      <c r="A13" s="949" t="s">
        <v>605</v>
      </c>
      <c r="B13" s="1284">
        <v>322386.3</v>
      </c>
      <c r="C13" s="1284">
        <v>13399</v>
      </c>
      <c r="D13" s="1284">
        <v>34965.9</v>
      </c>
      <c r="E13" s="1284">
        <v>32311.4</v>
      </c>
      <c r="F13" s="1284">
        <f t="shared" si="1"/>
        <v>2654.5</v>
      </c>
      <c r="G13" s="1284">
        <v>5798.4</v>
      </c>
      <c r="H13" s="1284">
        <v>202262.3</v>
      </c>
      <c r="I13" s="1284">
        <v>85343.4</v>
      </c>
      <c r="J13" s="1284">
        <v>21.4</v>
      </c>
      <c r="K13" s="1284">
        <v>0</v>
      </c>
      <c r="L13" s="1284">
        <f t="shared" si="2"/>
        <v>287627.09999999998</v>
      </c>
      <c r="M13" s="1284">
        <v>1487</v>
      </c>
      <c r="N13" s="1284">
        <v>0</v>
      </c>
      <c r="O13" s="1284">
        <v>0</v>
      </c>
      <c r="P13" s="1284">
        <v>0</v>
      </c>
      <c r="Q13" s="1284">
        <v>0</v>
      </c>
      <c r="R13" s="1284">
        <v>39371.300000000003</v>
      </c>
      <c r="S13" s="1284">
        <v>15752.8</v>
      </c>
    </row>
    <row r="14" spans="1:19" s="951" customFormat="1" ht="12.2" customHeight="1">
      <c r="A14" s="950" t="s">
        <v>606</v>
      </c>
      <c r="B14" s="1285">
        <v>330896.2</v>
      </c>
      <c r="C14" s="1285">
        <v>15693.6</v>
      </c>
      <c r="D14" s="1285">
        <v>33655.800000000003</v>
      </c>
      <c r="E14" s="1285">
        <v>32404.400000000001</v>
      </c>
      <c r="F14" s="1285">
        <f t="shared" si="1"/>
        <v>1251.4000000000015</v>
      </c>
      <c r="G14" s="1285">
        <v>5788.6</v>
      </c>
      <c r="H14" s="1285">
        <v>200463.5</v>
      </c>
      <c r="I14" s="1285">
        <v>95072.7</v>
      </c>
      <c r="J14" s="1285">
        <v>14.9</v>
      </c>
      <c r="K14" s="1285">
        <v>0</v>
      </c>
      <c r="L14" s="1285">
        <f t="shared" si="2"/>
        <v>295551.10000000003</v>
      </c>
      <c r="M14" s="1285">
        <v>769.7</v>
      </c>
      <c r="N14" s="1285">
        <v>0</v>
      </c>
      <c r="O14" s="1285">
        <v>0</v>
      </c>
      <c r="P14" s="1285">
        <v>0</v>
      </c>
      <c r="Q14" s="1285">
        <v>0</v>
      </c>
      <c r="R14" s="1285">
        <v>40161.599999999999</v>
      </c>
      <c r="S14" s="1285">
        <v>17147.400000000001</v>
      </c>
    </row>
    <row r="15" spans="1:19" s="951" customFormat="1" ht="12.2" customHeight="1">
      <c r="A15" s="949" t="s">
        <v>599</v>
      </c>
      <c r="B15" s="1284">
        <v>341180.7</v>
      </c>
      <c r="C15" s="1284">
        <v>18437.2</v>
      </c>
      <c r="D15" s="1284">
        <v>31637.1</v>
      </c>
      <c r="E15" s="1284">
        <v>39284.699999999997</v>
      </c>
      <c r="F15" s="1284">
        <f t="shared" si="1"/>
        <v>-7647.5999999999985</v>
      </c>
      <c r="G15" s="1284">
        <v>5877.2</v>
      </c>
      <c r="H15" s="1284">
        <v>201526</v>
      </c>
      <c r="I15" s="1284">
        <v>100941.8</v>
      </c>
      <c r="J15" s="1284">
        <v>42.4</v>
      </c>
      <c r="K15" s="1284">
        <v>0</v>
      </c>
      <c r="L15" s="1284">
        <f t="shared" si="2"/>
        <v>302510.2</v>
      </c>
      <c r="M15" s="1284">
        <v>1239</v>
      </c>
      <c r="N15" s="1284">
        <v>0</v>
      </c>
      <c r="O15" s="1284">
        <v>0</v>
      </c>
      <c r="P15" s="1284">
        <v>0</v>
      </c>
      <c r="Q15" s="1284">
        <v>0</v>
      </c>
      <c r="R15" s="1284">
        <v>41550.9</v>
      </c>
      <c r="S15" s="1284">
        <v>12547.4</v>
      </c>
    </row>
    <row r="16" spans="1:19" s="951" customFormat="1" ht="12.2" customHeight="1">
      <c r="A16" s="950" t="s">
        <v>607</v>
      </c>
      <c r="B16" s="1285">
        <v>343477.5</v>
      </c>
      <c r="C16" s="1285">
        <v>20816.099999999999</v>
      </c>
      <c r="D16" s="1285">
        <v>36939.1</v>
      </c>
      <c r="E16" s="1285">
        <v>45763.1</v>
      </c>
      <c r="F16" s="1285">
        <f t="shared" si="1"/>
        <v>-8824</v>
      </c>
      <c r="G16" s="1285">
        <v>5856.8</v>
      </c>
      <c r="H16" s="1285">
        <v>201812.7</v>
      </c>
      <c r="I16" s="1285">
        <v>97824.1</v>
      </c>
      <c r="J16" s="1285">
        <v>41.9</v>
      </c>
      <c r="K16" s="1285">
        <v>0</v>
      </c>
      <c r="L16" s="1285">
        <f t="shared" si="2"/>
        <v>299678.70000000007</v>
      </c>
      <c r="M16" s="1285">
        <v>1395.7</v>
      </c>
      <c r="N16" s="1285">
        <v>0</v>
      </c>
      <c r="O16" s="1285">
        <v>0</v>
      </c>
      <c r="P16" s="1285">
        <v>0</v>
      </c>
      <c r="Q16" s="1285">
        <v>0</v>
      </c>
      <c r="R16" s="1285">
        <v>41967.9</v>
      </c>
      <c r="S16" s="1285">
        <v>18284.099999999999</v>
      </c>
    </row>
    <row r="17" spans="1:19" s="951" customFormat="1" ht="12.2" customHeight="1">
      <c r="A17" s="949" t="s">
        <v>608</v>
      </c>
      <c r="B17" s="1284">
        <v>347149.8</v>
      </c>
      <c r="C17" s="1284">
        <v>21548</v>
      </c>
      <c r="D17" s="1284">
        <v>31175.5</v>
      </c>
      <c r="E17" s="1284">
        <v>51185.5</v>
      </c>
      <c r="F17" s="1284">
        <f t="shared" si="1"/>
        <v>-20010</v>
      </c>
      <c r="G17" s="1284">
        <v>5863.4</v>
      </c>
      <c r="H17" s="1284">
        <v>201832.9</v>
      </c>
      <c r="I17" s="1284">
        <v>97064.5</v>
      </c>
      <c r="J17" s="1284">
        <v>47.1</v>
      </c>
      <c r="K17" s="1284">
        <v>0</v>
      </c>
      <c r="L17" s="1284">
        <f t="shared" si="2"/>
        <v>298944.5</v>
      </c>
      <c r="M17" s="1284">
        <v>1047.3</v>
      </c>
      <c r="N17" s="1284">
        <v>0</v>
      </c>
      <c r="O17" s="1284">
        <v>0</v>
      </c>
      <c r="P17" s="1284">
        <v>0</v>
      </c>
      <c r="Q17" s="1284">
        <v>0</v>
      </c>
      <c r="R17" s="1284">
        <v>41762.400000000001</v>
      </c>
      <c r="S17" s="1284">
        <v>12797</v>
      </c>
    </row>
    <row r="18" spans="1:19" s="951" customFormat="1" ht="12.2" customHeight="1">
      <c r="A18" s="950" t="s">
        <v>600</v>
      </c>
      <c r="B18" s="1285">
        <v>346842.8</v>
      </c>
      <c r="C18" s="1285">
        <v>21945.7</v>
      </c>
      <c r="D18" s="1285">
        <v>29538.1</v>
      </c>
      <c r="E18" s="1285">
        <v>48283.7</v>
      </c>
      <c r="F18" s="1285">
        <f t="shared" si="1"/>
        <v>-18745.599999999999</v>
      </c>
      <c r="G18" s="1285">
        <v>5867.5</v>
      </c>
      <c r="H18" s="1285">
        <v>200324.2</v>
      </c>
      <c r="I18" s="1285">
        <v>101716.6</v>
      </c>
      <c r="J18" s="1285">
        <v>64.8</v>
      </c>
      <c r="K18" s="1285">
        <v>0</v>
      </c>
      <c r="L18" s="1285">
        <f t="shared" si="2"/>
        <v>302105.60000000003</v>
      </c>
      <c r="M18" s="1285">
        <v>1438.2</v>
      </c>
      <c r="N18" s="1285">
        <v>0</v>
      </c>
      <c r="O18" s="1285">
        <v>0</v>
      </c>
      <c r="P18" s="1285">
        <v>0</v>
      </c>
      <c r="Q18" s="1285">
        <v>0</v>
      </c>
      <c r="R18" s="1285">
        <v>40998.400000000001</v>
      </c>
      <c r="S18" s="1285">
        <v>11368.2</v>
      </c>
    </row>
    <row r="19" spans="1:19" s="951" customFormat="1" ht="12.2" customHeight="1">
      <c r="A19" s="949" t="s">
        <v>609</v>
      </c>
      <c r="B19" s="1284">
        <v>352525.9</v>
      </c>
      <c r="C19" s="1284">
        <v>22174.400000000001</v>
      </c>
      <c r="D19" s="1284">
        <v>29640.1</v>
      </c>
      <c r="E19" s="1284">
        <v>40914.6</v>
      </c>
      <c r="F19" s="1284">
        <f t="shared" si="1"/>
        <v>-11274.5</v>
      </c>
      <c r="G19" s="1284">
        <v>5879.9</v>
      </c>
      <c r="H19" s="1284">
        <v>208632.6</v>
      </c>
      <c r="I19" s="1284">
        <v>105840.7</v>
      </c>
      <c r="J19" s="1284">
        <v>29.6</v>
      </c>
      <c r="K19" s="1284">
        <v>0</v>
      </c>
      <c r="L19" s="1284">
        <f t="shared" si="2"/>
        <v>314502.89999999997</v>
      </c>
      <c r="M19" s="1284">
        <v>1404.1</v>
      </c>
      <c r="N19" s="1284">
        <v>0</v>
      </c>
      <c r="O19" s="1284">
        <v>0</v>
      </c>
      <c r="P19" s="1284">
        <v>0</v>
      </c>
      <c r="Q19" s="1284">
        <v>0</v>
      </c>
      <c r="R19" s="1284">
        <v>42367.4</v>
      </c>
      <c r="S19" s="1284">
        <v>11031.3</v>
      </c>
    </row>
    <row r="20" spans="1:19" s="951" customFormat="1" ht="12.2" customHeight="1">
      <c r="A20" s="950" t="s">
        <v>610</v>
      </c>
      <c r="B20" s="1285">
        <v>361530.8</v>
      </c>
      <c r="C20" s="1285">
        <v>22921.5</v>
      </c>
      <c r="D20" s="1285">
        <v>29707.9</v>
      </c>
      <c r="E20" s="1285">
        <v>39225.9</v>
      </c>
      <c r="F20" s="1285">
        <f t="shared" si="1"/>
        <v>-9518</v>
      </c>
      <c r="G20" s="1285">
        <v>5871.5</v>
      </c>
      <c r="H20" s="1285">
        <v>219292.79999999999</v>
      </c>
      <c r="I20" s="1285">
        <v>106984.2</v>
      </c>
      <c r="J20" s="1285">
        <v>13.5</v>
      </c>
      <c r="K20" s="1285">
        <v>0</v>
      </c>
      <c r="L20" s="1285">
        <f t="shared" si="2"/>
        <v>326290.5</v>
      </c>
      <c r="M20" s="1285">
        <v>1211.9000000000001</v>
      </c>
      <c r="N20" s="1285">
        <v>0</v>
      </c>
      <c r="O20" s="1285">
        <v>0</v>
      </c>
      <c r="P20" s="1285">
        <v>0</v>
      </c>
      <c r="Q20" s="1285">
        <v>0</v>
      </c>
      <c r="R20" s="1285">
        <v>42897.1</v>
      </c>
      <c r="S20" s="1285">
        <v>10406.299999999999</v>
      </c>
    </row>
    <row r="21" spans="1:19" s="951" customFormat="1" ht="12.2" customHeight="1">
      <c r="A21" s="949" t="s">
        <v>601</v>
      </c>
      <c r="B21" s="1284">
        <v>366917.3</v>
      </c>
      <c r="C21" s="1284">
        <v>22091.200000000001</v>
      </c>
      <c r="D21" s="1284">
        <v>33870.800000000003</v>
      </c>
      <c r="E21" s="1284">
        <v>25244.5</v>
      </c>
      <c r="F21" s="1284">
        <f t="shared" si="1"/>
        <v>8626.3000000000029</v>
      </c>
      <c r="G21" s="1284">
        <v>5935.6</v>
      </c>
      <c r="H21" s="1284">
        <v>225322.2</v>
      </c>
      <c r="I21" s="1284">
        <v>121126</v>
      </c>
      <c r="J21" s="1284">
        <v>57.5</v>
      </c>
      <c r="K21" s="1284">
        <v>0</v>
      </c>
      <c r="L21" s="1284">
        <f t="shared" si="2"/>
        <v>346505.7</v>
      </c>
      <c r="M21" s="1284">
        <v>1529.9</v>
      </c>
      <c r="N21" s="1284">
        <v>0</v>
      </c>
      <c r="O21" s="1284">
        <v>0</v>
      </c>
      <c r="P21" s="1284">
        <v>0</v>
      </c>
      <c r="Q21" s="1284">
        <v>0</v>
      </c>
      <c r="R21" s="1284">
        <v>43524.7</v>
      </c>
      <c r="S21" s="1284">
        <v>12010.1</v>
      </c>
    </row>
    <row r="22" spans="1:19" s="951" customFormat="1" ht="12.2" customHeight="1">
      <c r="A22" s="1502" t="s">
        <v>2160</v>
      </c>
      <c r="B22" s="1283">
        <f>B34</f>
        <v>347746.8</v>
      </c>
      <c r="C22" s="1283">
        <f t="shared" ref="C22:S22" si="3">C34</f>
        <v>19369.2</v>
      </c>
      <c r="D22" s="1283">
        <f t="shared" si="3"/>
        <v>58719.3</v>
      </c>
      <c r="E22" s="1283">
        <f t="shared" si="3"/>
        <v>13785.7</v>
      </c>
      <c r="F22" s="1283">
        <f t="shared" si="3"/>
        <v>44933.600000000006</v>
      </c>
      <c r="G22" s="1283">
        <f t="shared" si="3"/>
        <v>6093.7</v>
      </c>
      <c r="H22" s="1283">
        <f t="shared" si="3"/>
        <v>254519.5</v>
      </c>
      <c r="I22" s="1283">
        <f t="shared" si="3"/>
        <v>90931.1</v>
      </c>
      <c r="J22" s="1283">
        <f t="shared" si="3"/>
        <v>48.2</v>
      </c>
      <c r="K22" s="1283">
        <f t="shared" si="3"/>
        <v>0</v>
      </c>
      <c r="L22" s="1283">
        <f t="shared" si="3"/>
        <v>345498.8</v>
      </c>
      <c r="M22" s="1283">
        <f t="shared" si="3"/>
        <v>1321.7</v>
      </c>
      <c r="N22" s="1283">
        <f t="shared" si="3"/>
        <v>0</v>
      </c>
      <c r="O22" s="1283">
        <f t="shared" si="3"/>
        <v>0</v>
      </c>
      <c r="P22" s="1283">
        <f t="shared" si="3"/>
        <v>0</v>
      </c>
      <c r="Q22" s="1283">
        <f t="shared" si="3"/>
        <v>0</v>
      </c>
      <c r="R22" s="1283">
        <f t="shared" si="3"/>
        <v>62830.400000000001</v>
      </c>
      <c r="S22" s="1283">
        <f t="shared" si="3"/>
        <v>8492.4</v>
      </c>
    </row>
    <row r="23" spans="1:19" s="951" customFormat="1" ht="12.2" customHeight="1">
      <c r="A23" s="949" t="s">
        <v>603</v>
      </c>
      <c r="B23" s="1284">
        <v>369407.4</v>
      </c>
      <c r="C23" s="1284">
        <v>22153.5</v>
      </c>
      <c r="D23" s="1284">
        <v>30308.7</v>
      </c>
      <c r="E23" s="1284">
        <v>26352</v>
      </c>
      <c r="F23" s="1284">
        <f t="shared" si="1"/>
        <v>3956.7000000000007</v>
      </c>
      <c r="G23" s="1284">
        <v>5924.5</v>
      </c>
      <c r="H23" s="1284">
        <v>244502.5</v>
      </c>
      <c r="I23" s="1284">
        <v>103422.8</v>
      </c>
      <c r="J23" s="1284">
        <v>56.6</v>
      </c>
      <c r="K23" s="1284">
        <v>0</v>
      </c>
      <c r="L23" s="1284">
        <f t="shared" si="2"/>
        <v>347981.89999999997</v>
      </c>
      <c r="M23" s="1284">
        <v>912.2</v>
      </c>
      <c r="N23" s="1284">
        <v>0</v>
      </c>
      <c r="O23" s="1284">
        <v>0</v>
      </c>
      <c r="P23" s="1284">
        <v>0</v>
      </c>
      <c r="Q23" s="1284">
        <v>0</v>
      </c>
      <c r="R23" s="1284">
        <v>43678.400000000001</v>
      </c>
      <c r="S23" s="1284">
        <v>8869.6</v>
      </c>
    </row>
    <row r="24" spans="1:19" s="951" customFormat="1" ht="12.2" customHeight="1">
      <c r="A24" s="950" t="s">
        <v>604</v>
      </c>
      <c r="B24" s="1285">
        <v>370194</v>
      </c>
      <c r="C24" s="1285">
        <v>22049.5</v>
      </c>
      <c r="D24" s="1285">
        <v>29387.5</v>
      </c>
      <c r="E24" s="1285">
        <v>35565.9</v>
      </c>
      <c r="F24" s="1285">
        <f t="shared" si="1"/>
        <v>-6178.4000000000015</v>
      </c>
      <c r="G24" s="1285">
        <v>5901.7</v>
      </c>
      <c r="H24" s="1285">
        <v>232100.9</v>
      </c>
      <c r="I24" s="1285">
        <v>92156.4</v>
      </c>
      <c r="J24" s="1285">
        <v>29</v>
      </c>
      <c r="K24" s="1285">
        <v>0</v>
      </c>
      <c r="L24" s="1285">
        <f t="shared" si="2"/>
        <v>324286.3</v>
      </c>
      <c r="M24" s="1285">
        <v>1276.4000000000001</v>
      </c>
      <c r="N24" s="1285">
        <v>0</v>
      </c>
      <c r="O24" s="1285">
        <v>0</v>
      </c>
      <c r="P24" s="1285">
        <v>0</v>
      </c>
      <c r="Q24" s="1285">
        <v>0</v>
      </c>
      <c r="R24" s="1285">
        <v>45470.5</v>
      </c>
      <c r="S24" s="1285">
        <v>20933.599999999999</v>
      </c>
    </row>
    <row r="25" spans="1:19" s="951" customFormat="1" ht="12.2" customHeight="1">
      <c r="A25" s="949" t="s">
        <v>598</v>
      </c>
      <c r="B25" s="1284">
        <v>361731.1</v>
      </c>
      <c r="C25" s="1284">
        <v>21647.1</v>
      </c>
      <c r="D25" s="1284">
        <v>32563</v>
      </c>
      <c r="E25" s="1284">
        <v>35409.300000000003</v>
      </c>
      <c r="F25" s="1284">
        <f t="shared" si="1"/>
        <v>-2846.3000000000029</v>
      </c>
      <c r="G25" s="1284">
        <v>5877.3</v>
      </c>
      <c r="H25" s="1284">
        <v>226089.4</v>
      </c>
      <c r="I25" s="1284">
        <v>95654.399999999994</v>
      </c>
      <c r="J25" s="1284">
        <v>8.1999999999999993</v>
      </c>
      <c r="K25" s="1284">
        <v>0</v>
      </c>
      <c r="L25" s="1284">
        <f t="shared" si="2"/>
        <v>321752</v>
      </c>
      <c r="M25" s="1284">
        <v>1283.3</v>
      </c>
      <c r="N25" s="1284">
        <v>0</v>
      </c>
      <c r="O25" s="1284">
        <v>0</v>
      </c>
      <c r="P25" s="1284">
        <v>0</v>
      </c>
      <c r="Q25" s="1284">
        <v>0</v>
      </c>
      <c r="R25" s="1284">
        <v>45638.400000000001</v>
      </c>
      <c r="S25" s="1284">
        <v>17735.5</v>
      </c>
    </row>
    <row r="26" spans="1:19" s="951" customFormat="1" ht="12.2" customHeight="1">
      <c r="A26" s="950" t="s">
        <v>605</v>
      </c>
      <c r="B26" s="1285">
        <v>358587</v>
      </c>
      <c r="C26" s="1285">
        <v>20697.099999999999</v>
      </c>
      <c r="D26" s="1285">
        <v>32655.5</v>
      </c>
      <c r="E26" s="1285">
        <v>34229</v>
      </c>
      <c r="F26" s="1285">
        <f t="shared" si="1"/>
        <v>-1573.5</v>
      </c>
      <c r="G26" s="1285">
        <v>5877.8</v>
      </c>
      <c r="H26" s="1285">
        <v>224139.1</v>
      </c>
      <c r="I26" s="1285">
        <v>94219.5</v>
      </c>
      <c r="J26" s="1285">
        <v>11</v>
      </c>
      <c r="K26" s="1285">
        <v>0</v>
      </c>
      <c r="L26" s="1285">
        <f t="shared" si="2"/>
        <v>318369.59999999998</v>
      </c>
      <c r="M26" s="1285">
        <v>1211.9000000000001</v>
      </c>
      <c r="N26" s="1285">
        <v>0</v>
      </c>
      <c r="O26" s="1285">
        <v>0</v>
      </c>
      <c r="P26" s="1285">
        <v>0</v>
      </c>
      <c r="Q26" s="1285">
        <v>0</v>
      </c>
      <c r="R26" s="1285">
        <v>47011.4</v>
      </c>
      <c r="S26" s="1285">
        <v>16995.5</v>
      </c>
    </row>
    <row r="27" spans="1:19" s="951" customFormat="1" ht="12.2" customHeight="1">
      <c r="A27" s="949" t="s">
        <v>606</v>
      </c>
      <c r="B27" s="1284">
        <v>352220</v>
      </c>
      <c r="C27" s="1284">
        <v>20523</v>
      </c>
      <c r="D27" s="1284">
        <v>32464.5</v>
      </c>
      <c r="E27" s="1284">
        <v>24929.8</v>
      </c>
      <c r="F27" s="1284">
        <f t="shared" si="1"/>
        <v>7534.7000000000007</v>
      </c>
      <c r="G27" s="1284">
        <v>5862.5</v>
      </c>
      <c r="H27" s="1284">
        <v>225421.6</v>
      </c>
      <c r="I27" s="1284">
        <v>105450.5</v>
      </c>
      <c r="J27" s="1284">
        <v>21.2</v>
      </c>
      <c r="K27" s="1284">
        <v>0</v>
      </c>
      <c r="L27" s="1284">
        <f t="shared" si="2"/>
        <v>330893.3</v>
      </c>
      <c r="M27" s="1284">
        <v>1361.8</v>
      </c>
      <c r="N27" s="1284">
        <v>0</v>
      </c>
      <c r="O27" s="1284">
        <v>0</v>
      </c>
      <c r="P27" s="1284">
        <v>0</v>
      </c>
      <c r="Q27" s="1284">
        <v>0</v>
      </c>
      <c r="R27" s="1284">
        <v>46727.3</v>
      </c>
      <c r="S27" s="1284">
        <v>7157.8</v>
      </c>
    </row>
    <row r="28" spans="1:19" s="951" customFormat="1" ht="12.2" customHeight="1">
      <c r="A28" s="950" t="s">
        <v>599</v>
      </c>
      <c r="B28" s="1285">
        <v>354607.3</v>
      </c>
      <c r="C28" s="1285">
        <v>19514</v>
      </c>
      <c r="D28" s="1285">
        <v>32245.1</v>
      </c>
      <c r="E28" s="1285">
        <v>36917.699999999997</v>
      </c>
      <c r="F28" s="1285">
        <f t="shared" si="1"/>
        <v>-4672.5999999999985</v>
      </c>
      <c r="G28" s="1285">
        <v>5944</v>
      </c>
      <c r="H28" s="1285">
        <v>227883.1</v>
      </c>
      <c r="I28" s="1285">
        <v>94124.4</v>
      </c>
      <c r="J28" s="1285">
        <v>53.7</v>
      </c>
      <c r="K28" s="1285">
        <v>0</v>
      </c>
      <c r="L28" s="1285">
        <f t="shared" si="2"/>
        <v>322061.2</v>
      </c>
      <c r="M28" s="1285">
        <v>1170.9000000000001</v>
      </c>
      <c r="N28" s="1285">
        <v>0</v>
      </c>
      <c r="O28" s="1285">
        <v>0</v>
      </c>
      <c r="P28" s="1285">
        <v>0</v>
      </c>
      <c r="Q28" s="1285">
        <v>0</v>
      </c>
      <c r="R28" s="1285">
        <v>47147.3</v>
      </c>
      <c r="S28" s="1285">
        <v>5013.3</v>
      </c>
    </row>
    <row r="29" spans="1:19" s="951" customFormat="1" ht="12.2" customHeight="1">
      <c r="A29" s="949" t="s">
        <v>607</v>
      </c>
      <c r="B29" s="1284">
        <v>351964.2</v>
      </c>
      <c r="C29" s="1284">
        <v>19282</v>
      </c>
      <c r="D29" s="1284">
        <v>32210.9</v>
      </c>
      <c r="E29" s="1284">
        <v>33232.800000000003</v>
      </c>
      <c r="F29" s="1284">
        <f t="shared" si="1"/>
        <v>-1021.9000000000015</v>
      </c>
      <c r="G29" s="1284">
        <v>5932.2</v>
      </c>
      <c r="H29" s="1284">
        <v>229783.9</v>
      </c>
      <c r="I29" s="1284">
        <v>91827.1</v>
      </c>
      <c r="J29" s="1284">
        <v>73.8</v>
      </c>
      <c r="K29" s="1284">
        <v>0</v>
      </c>
      <c r="L29" s="1284">
        <f t="shared" si="2"/>
        <v>321684.8</v>
      </c>
      <c r="M29" s="1284">
        <v>1552.8</v>
      </c>
      <c r="N29" s="1284">
        <v>0</v>
      </c>
      <c r="O29" s="1284">
        <v>0</v>
      </c>
      <c r="P29" s="1284">
        <v>0</v>
      </c>
      <c r="Q29" s="1284">
        <v>0</v>
      </c>
      <c r="R29" s="1284">
        <v>46965.599999999999</v>
      </c>
      <c r="S29" s="1284">
        <v>5953.3</v>
      </c>
    </row>
    <row r="30" spans="1:19" s="951" customFormat="1" ht="12.2" customHeight="1">
      <c r="A30" s="950" t="s">
        <v>608</v>
      </c>
      <c r="B30" s="1285">
        <v>351813.7</v>
      </c>
      <c r="C30" s="1285">
        <v>18911.2</v>
      </c>
      <c r="D30" s="1285">
        <v>32318.3</v>
      </c>
      <c r="E30" s="1285">
        <v>34254.800000000003</v>
      </c>
      <c r="F30" s="1285">
        <f t="shared" si="1"/>
        <v>-1936.5000000000036</v>
      </c>
      <c r="G30" s="1285">
        <v>5940.9</v>
      </c>
      <c r="H30" s="1285">
        <v>231253.1</v>
      </c>
      <c r="I30" s="1285">
        <v>89403.3</v>
      </c>
      <c r="J30" s="1285">
        <v>7.2</v>
      </c>
      <c r="K30" s="1285">
        <v>0</v>
      </c>
      <c r="L30" s="1285">
        <f t="shared" si="2"/>
        <v>320663.60000000003</v>
      </c>
      <c r="M30" s="1285">
        <v>1414.8</v>
      </c>
      <c r="N30" s="1285">
        <v>0</v>
      </c>
      <c r="O30" s="1285">
        <v>0</v>
      </c>
      <c r="P30" s="1285">
        <v>0</v>
      </c>
      <c r="Q30" s="1285">
        <v>0</v>
      </c>
      <c r="R30" s="1285">
        <v>47406.6</v>
      </c>
      <c r="S30" s="1285">
        <v>5244.3</v>
      </c>
    </row>
    <row r="31" spans="1:19" s="951" customFormat="1" ht="12.2" customHeight="1">
      <c r="A31" s="949" t="s">
        <v>600</v>
      </c>
      <c r="B31" s="1284">
        <v>344757</v>
      </c>
      <c r="C31" s="1284">
        <v>19482.3</v>
      </c>
      <c r="D31" s="1284">
        <v>32001.1</v>
      </c>
      <c r="E31" s="1284">
        <v>28912.799999999999</v>
      </c>
      <c r="F31" s="1284">
        <f t="shared" si="1"/>
        <v>3088.2999999999993</v>
      </c>
      <c r="G31" s="1284">
        <v>5946.5</v>
      </c>
      <c r="H31" s="1284">
        <v>230291.6</v>
      </c>
      <c r="I31" s="1284">
        <v>89215</v>
      </c>
      <c r="J31" s="1284">
        <v>17.399999999999999</v>
      </c>
      <c r="K31" s="1284">
        <v>0</v>
      </c>
      <c r="L31" s="1284">
        <f t="shared" si="2"/>
        <v>319524</v>
      </c>
      <c r="M31" s="1284">
        <v>987.5</v>
      </c>
      <c r="N31" s="1284">
        <v>0</v>
      </c>
      <c r="O31" s="1284">
        <v>0</v>
      </c>
      <c r="P31" s="1284">
        <v>0</v>
      </c>
      <c r="Q31" s="1284">
        <v>0</v>
      </c>
      <c r="R31" s="1284">
        <v>47080.1</v>
      </c>
      <c r="S31" s="1284">
        <v>5682.5</v>
      </c>
    </row>
    <row r="32" spans="1:19" s="951" customFormat="1" ht="12.2" customHeight="1">
      <c r="A32" s="950" t="s">
        <v>609</v>
      </c>
      <c r="B32" s="1285">
        <v>337432.5</v>
      </c>
      <c r="C32" s="1285">
        <v>24310.7</v>
      </c>
      <c r="D32" s="1285">
        <v>38110.800000000003</v>
      </c>
      <c r="E32" s="1285">
        <v>15883</v>
      </c>
      <c r="F32" s="1285">
        <f t="shared" si="1"/>
        <v>22227.800000000003</v>
      </c>
      <c r="G32" s="1285">
        <v>5981.8</v>
      </c>
      <c r="H32" s="1285">
        <v>254121.9</v>
      </c>
      <c r="I32" s="1285">
        <v>84014.399999999994</v>
      </c>
      <c r="J32" s="1285">
        <v>9.6</v>
      </c>
      <c r="K32" s="1285">
        <v>0</v>
      </c>
      <c r="L32" s="1285">
        <f t="shared" si="2"/>
        <v>338145.89999999997</v>
      </c>
      <c r="M32" s="1285">
        <v>1125.0999999999999</v>
      </c>
      <c r="N32" s="1285">
        <v>0</v>
      </c>
      <c r="O32" s="1285">
        <v>0</v>
      </c>
      <c r="P32" s="1285">
        <v>0</v>
      </c>
      <c r="Q32" s="1285">
        <v>0</v>
      </c>
      <c r="R32" s="1285">
        <v>44841.8</v>
      </c>
      <c r="S32" s="1285">
        <v>5840</v>
      </c>
    </row>
    <row r="33" spans="1:21" s="951" customFormat="1" ht="12.2" customHeight="1">
      <c r="A33" s="949" t="s">
        <v>610</v>
      </c>
      <c r="B33" s="1284">
        <v>343399.6</v>
      </c>
      <c r="C33" s="1284">
        <v>25846.799999999999</v>
      </c>
      <c r="D33" s="1284">
        <v>46116</v>
      </c>
      <c r="E33" s="1284">
        <v>28513.9</v>
      </c>
      <c r="F33" s="1284">
        <f t="shared" si="1"/>
        <v>17602.099999999999</v>
      </c>
      <c r="G33" s="1284">
        <v>6002.7</v>
      </c>
      <c r="H33" s="1284">
        <v>243684</v>
      </c>
      <c r="I33" s="1284">
        <v>85473.5</v>
      </c>
      <c r="J33" s="1284">
        <v>20.5</v>
      </c>
      <c r="K33" s="1284">
        <v>0</v>
      </c>
      <c r="L33" s="1284">
        <f t="shared" si="2"/>
        <v>329178</v>
      </c>
      <c r="M33" s="1284">
        <v>1722.6</v>
      </c>
      <c r="N33" s="1284">
        <v>0</v>
      </c>
      <c r="O33" s="1284">
        <v>0</v>
      </c>
      <c r="P33" s="1284">
        <v>0</v>
      </c>
      <c r="Q33" s="1284">
        <v>0</v>
      </c>
      <c r="R33" s="1284">
        <v>56082.2</v>
      </c>
      <c r="S33" s="1284">
        <v>5868.4</v>
      </c>
    </row>
    <row r="34" spans="1:21" s="951" customFormat="1" ht="12.2" customHeight="1">
      <c r="A34" s="950" t="s">
        <v>601</v>
      </c>
      <c r="B34" s="1285">
        <v>347746.8</v>
      </c>
      <c r="C34" s="1285">
        <v>19369.2</v>
      </c>
      <c r="D34" s="1285">
        <v>58719.3</v>
      </c>
      <c r="E34" s="1285">
        <v>13785.7</v>
      </c>
      <c r="F34" s="1285">
        <f>D34-E34</f>
        <v>44933.600000000006</v>
      </c>
      <c r="G34" s="1285">
        <v>6093.7</v>
      </c>
      <c r="H34" s="1285">
        <v>254519.5</v>
      </c>
      <c r="I34" s="1285">
        <v>90931.1</v>
      </c>
      <c r="J34" s="1285">
        <v>48.2</v>
      </c>
      <c r="K34" s="1285">
        <v>0</v>
      </c>
      <c r="L34" s="1285">
        <f t="shared" si="2"/>
        <v>345498.8</v>
      </c>
      <c r="M34" s="1285">
        <v>1321.7</v>
      </c>
      <c r="N34" s="1285">
        <v>0</v>
      </c>
      <c r="O34" s="1285">
        <v>0</v>
      </c>
      <c r="P34" s="1285">
        <v>0</v>
      </c>
      <c r="Q34" s="1285">
        <v>0</v>
      </c>
      <c r="R34" s="1285">
        <v>62830.400000000001</v>
      </c>
      <c r="S34" s="1285">
        <v>8492.4</v>
      </c>
    </row>
    <row r="35" spans="1:21" s="951" customFormat="1" ht="12.2" customHeight="1">
      <c r="A35" s="1501" t="s">
        <v>2546</v>
      </c>
      <c r="B35" s="1284"/>
      <c r="C35" s="1284"/>
      <c r="D35" s="1284"/>
      <c r="E35" s="1284"/>
      <c r="F35" s="1284"/>
      <c r="G35" s="1284"/>
      <c r="H35" s="1284"/>
      <c r="I35" s="1284"/>
      <c r="J35" s="1284"/>
      <c r="K35" s="1284"/>
      <c r="L35" s="1284"/>
      <c r="M35" s="1284"/>
      <c r="N35" s="1284"/>
      <c r="O35" s="1284"/>
      <c r="P35" s="1284"/>
      <c r="Q35" s="1284"/>
      <c r="R35" s="1284"/>
      <c r="S35" s="1284"/>
    </row>
    <row r="36" spans="1:21" s="951" customFormat="1" ht="12.2" customHeight="1">
      <c r="A36" s="950" t="s">
        <v>603</v>
      </c>
      <c r="B36" s="1285">
        <v>341807.6</v>
      </c>
      <c r="C36" s="1285">
        <v>29619.200000000001</v>
      </c>
      <c r="D36" s="1285">
        <v>67405.899999999994</v>
      </c>
      <c r="E36" s="1285">
        <v>23212.3</v>
      </c>
      <c r="F36" s="1285">
        <f>D36-E36</f>
        <v>44193.599999999991</v>
      </c>
      <c r="G36" s="1285">
        <v>6067.6</v>
      </c>
      <c r="H36" s="1285">
        <v>262931.09999999998</v>
      </c>
      <c r="I36" s="1285">
        <v>80205.899999999994</v>
      </c>
      <c r="J36" s="1285">
        <v>121.6</v>
      </c>
      <c r="K36" s="1285">
        <v>0</v>
      </c>
      <c r="L36" s="1285">
        <f t="shared" si="2"/>
        <v>343258.6</v>
      </c>
      <c r="M36" s="1285">
        <v>1946.2</v>
      </c>
      <c r="N36" s="1285">
        <v>0</v>
      </c>
      <c r="O36" s="1285">
        <v>0</v>
      </c>
      <c r="P36" s="1285">
        <v>0</v>
      </c>
      <c r="Q36" s="1285">
        <v>0</v>
      </c>
      <c r="R36" s="1285">
        <v>67892.5</v>
      </c>
      <c r="S36" s="1285">
        <v>8590.7000000000007</v>
      </c>
    </row>
    <row r="37" spans="1:21" s="951" customFormat="1" ht="12.2" customHeight="1">
      <c r="A37" s="949" t="s">
        <v>604</v>
      </c>
      <c r="B37" s="1284">
        <v>323766.59999999998</v>
      </c>
      <c r="C37" s="1284">
        <v>33219</v>
      </c>
      <c r="D37" s="1284">
        <v>69696.600000000006</v>
      </c>
      <c r="E37" s="1284">
        <v>16551.900000000001</v>
      </c>
      <c r="F37" s="1284">
        <f>D37-E37</f>
        <v>53144.700000000004</v>
      </c>
      <c r="G37" s="1284">
        <v>6082.3</v>
      </c>
      <c r="H37" s="1284">
        <v>261231</v>
      </c>
      <c r="I37" s="1284">
        <v>78318.7</v>
      </c>
      <c r="J37" s="1284">
        <v>104.8</v>
      </c>
      <c r="K37" s="1284">
        <v>0</v>
      </c>
      <c r="L37" s="1284">
        <f t="shared" si="2"/>
        <v>339654.5</v>
      </c>
      <c r="M37" s="1284">
        <v>1597.2</v>
      </c>
      <c r="N37" s="1284">
        <v>0</v>
      </c>
      <c r="O37" s="1284">
        <v>0</v>
      </c>
      <c r="P37" s="1284">
        <v>0</v>
      </c>
      <c r="Q37" s="1284">
        <v>0</v>
      </c>
      <c r="R37" s="1284">
        <v>67820.600000000006</v>
      </c>
      <c r="S37" s="1284">
        <v>7140.3</v>
      </c>
    </row>
    <row r="38" spans="1:21" s="951" customFormat="1" ht="12.2" customHeight="1">
      <c r="A38" s="950" t="s">
        <v>598</v>
      </c>
      <c r="B38" s="1285">
        <v>319038.2</v>
      </c>
      <c r="C38" s="1285">
        <v>30920.1</v>
      </c>
      <c r="D38" s="1285">
        <v>75773.600000000006</v>
      </c>
      <c r="E38" s="1285">
        <v>12718.9</v>
      </c>
      <c r="F38" s="1285">
        <f>D38-E38</f>
        <v>63054.700000000004</v>
      </c>
      <c r="G38" s="1285">
        <v>6098.4</v>
      </c>
      <c r="H38" s="1285">
        <v>259946.1</v>
      </c>
      <c r="I38" s="1285">
        <v>78316.100000000006</v>
      </c>
      <c r="J38" s="1285">
        <v>127.6</v>
      </c>
      <c r="K38" s="1285">
        <v>0</v>
      </c>
      <c r="L38" s="1285">
        <f t="shared" si="2"/>
        <v>338389.8</v>
      </c>
      <c r="M38" s="1285">
        <v>1770.2</v>
      </c>
      <c r="N38" s="1285">
        <v>0</v>
      </c>
      <c r="O38" s="1285">
        <v>0</v>
      </c>
      <c r="P38" s="1285">
        <v>0</v>
      </c>
      <c r="Q38" s="1285">
        <v>0</v>
      </c>
      <c r="R38" s="1285">
        <v>68004.800000000003</v>
      </c>
      <c r="S38" s="1285">
        <v>10946.6</v>
      </c>
    </row>
    <row r="39" spans="1:21" s="951" customFormat="1" ht="12.2" customHeight="1">
      <c r="A39" s="949" t="s">
        <v>605</v>
      </c>
      <c r="B39" s="1284">
        <v>309741.7</v>
      </c>
      <c r="C39" s="1284">
        <v>27583.599999999999</v>
      </c>
      <c r="D39" s="1284">
        <v>86383</v>
      </c>
      <c r="E39" s="1284">
        <v>11896.1</v>
      </c>
      <c r="F39" s="1284">
        <f>D39-E39</f>
        <v>74486.899999999994</v>
      </c>
      <c r="G39" s="1284">
        <v>6128.4</v>
      </c>
      <c r="H39" s="1284">
        <v>256374.7</v>
      </c>
      <c r="I39" s="1284">
        <v>77266.899999999994</v>
      </c>
      <c r="J39" s="1284">
        <v>136.5</v>
      </c>
      <c r="K39" s="1284">
        <v>0</v>
      </c>
      <c r="L39" s="1284">
        <f t="shared" si="2"/>
        <v>333778.09999999998</v>
      </c>
      <c r="M39" s="1284">
        <v>1872.7</v>
      </c>
      <c r="N39" s="1284">
        <v>0</v>
      </c>
      <c r="O39" s="1284">
        <v>0</v>
      </c>
      <c r="P39" s="1284">
        <v>0</v>
      </c>
      <c r="Q39" s="1284">
        <v>0</v>
      </c>
      <c r="R39" s="1284">
        <v>72132.5</v>
      </c>
      <c r="S39" s="1284">
        <v>10157.299999999999</v>
      </c>
    </row>
    <row r="40" spans="1:21" s="951" customFormat="1" ht="12.2" customHeight="1" thickBot="1">
      <c r="A40" s="1678" t="s">
        <v>606</v>
      </c>
      <c r="B40" s="1679">
        <v>300467.3</v>
      </c>
      <c r="C40" s="1679">
        <v>40434.300000000003</v>
      </c>
      <c r="D40" s="1679">
        <v>91010</v>
      </c>
      <c r="E40" s="1679">
        <v>8362</v>
      </c>
      <c r="F40" s="1679">
        <f>D40-E40</f>
        <v>82648</v>
      </c>
      <c r="G40" s="1679">
        <v>6152.1</v>
      </c>
      <c r="H40" s="1679">
        <v>272891.59999999998</v>
      </c>
      <c r="I40" s="1679">
        <v>71651.600000000006</v>
      </c>
      <c r="J40" s="1679">
        <v>114.7</v>
      </c>
      <c r="K40" s="1679">
        <v>0</v>
      </c>
      <c r="L40" s="1679">
        <f t="shared" si="2"/>
        <v>344657.89999999997</v>
      </c>
      <c r="M40" s="1679">
        <v>1517.4</v>
      </c>
      <c r="N40" s="1679">
        <v>0</v>
      </c>
      <c r="O40" s="1679">
        <v>0</v>
      </c>
      <c r="P40" s="1679">
        <v>0</v>
      </c>
      <c r="Q40" s="1679">
        <v>0</v>
      </c>
      <c r="R40" s="1679">
        <v>77967.5</v>
      </c>
      <c r="S40" s="1679">
        <v>5558.9</v>
      </c>
    </row>
    <row r="41" spans="1:21" s="951" customFormat="1" ht="13.5" customHeight="1">
      <c r="A41" s="772" t="s">
        <v>16</v>
      </c>
      <c r="B41" s="773" t="s">
        <v>1362</v>
      </c>
      <c r="C41" s="773"/>
      <c r="D41" s="769"/>
      <c r="E41" s="769"/>
      <c r="F41" s="769"/>
      <c r="G41" s="778" t="s">
        <v>1465</v>
      </c>
      <c r="H41" s="937"/>
      <c r="I41" s="489"/>
      <c r="J41" s="937"/>
      <c r="K41" s="937"/>
      <c r="L41" s="937"/>
      <c r="M41" s="937"/>
      <c r="N41" s="937"/>
      <c r="O41" s="937"/>
      <c r="P41" s="937"/>
      <c r="Q41" s="937"/>
      <c r="R41" s="937"/>
      <c r="S41" s="937"/>
    </row>
    <row r="42" spans="1:21">
      <c r="B42" s="1625"/>
      <c r="C42" s="1368"/>
      <c r="D42" s="1368"/>
      <c r="E42" s="1625"/>
      <c r="F42" s="1430"/>
      <c r="G42" s="1430"/>
      <c r="H42" s="1430"/>
      <c r="I42" s="1430"/>
      <c r="J42" s="1430"/>
      <c r="K42" s="1289"/>
      <c r="M42" s="1368"/>
      <c r="N42" s="778"/>
      <c r="O42" s="1368"/>
      <c r="P42" s="778"/>
      <c r="Q42" s="778"/>
      <c r="R42" s="1368"/>
      <c r="S42" s="778"/>
      <c r="U42" s="1289"/>
    </row>
    <row r="43" spans="1:21">
      <c r="B43" s="1493"/>
      <c r="C43" s="1430"/>
      <c r="D43" s="1368"/>
      <c r="E43" s="1430"/>
      <c r="F43" s="1430"/>
      <c r="G43" s="1430"/>
      <c r="H43" s="1430"/>
      <c r="I43" s="1430"/>
      <c r="J43" s="1430"/>
      <c r="K43" s="1430"/>
      <c r="L43" s="1493"/>
      <c r="M43" s="1368"/>
      <c r="N43" s="1493"/>
      <c r="O43" s="1368"/>
      <c r="P43" s="1493"/>
      <c r="Q43" s="1493"/>
      <c r="R43" s="1368"/>
      <c r="S43" s="1493"/>
      <c r="U43" s="1289"/>
    </row>
    <row r="44" spans="1:21">
      <c r="A44" s="1289"/>
      <c r="B44" s="1430"/>
      <c r="C44" s="1430"/>
      <c r="D44" s="1368"/>
      <c r="E44" s="1430"/>
      <c r="F44" s="1430"/>
      <c r="G44" s="1430"/>
      <c r="H44" s="1430"/>
      <c r="I44" s="1430"/>
      <c r="J44" s="1430"/>
      <c r="K44" s="1430"/>
      <c r="L44" s="1493"/>
      <c r="M44" s="1368"/>
      <c r="N44" s="1493"/>
      <c r="O44" s="1368"/>
      <c r="P44" s="1493"/>
      <c r="Q44" s="1430"/>
      <c r="R44" s="1368"/>
      <c r="S44" s="1493"/>
      <c r="U44" s="1289"/>
    </row>
    <row r="45" spans="1:21" ht="14.25" customHeight="1">
      <c r="B45" s="1219"/>
      <c r="D45" s="1368"/>
      <c r="E45" s="1430"/>
      <c r="F45" s="1430"/>
      <c r="G45" s="1430"/>
      <c r="H45" s="1430"/>
      <c r="I45" s="1430"/>
      <c r="J45" s="1430"/>
      <c r="K45" s="1289"/>
      <c r="M45" s="1368"/>
      <c r="N45" s="778"/>
      <c r="O45" s="1368"/>
      <c r="P45" s="778"/>
      <c r="R45" s="1368"/>
      <c r="U45" s="1289"/>
    </row>
    <row r="46" spans="1:21">
      <c r="B46" s="1392"/>
      <c r="C46" s="1392"/>
      <c r="D46" s="1368"/>
      <c r="E46" s="1289"/>
      <c r="F46" s="1430"/>
      <c r="G46" s="1430"/>
      <c r="H46" s="1430"/>
      <c r="I46" s="1430"/>
      <c r="J46" s="1430"/>
      <c r="K46" s="1289"/>
      <c r="M46" s="1368"/>
      <c r="N46" s="778"/>
      <c r="O46" s="1368"/>
      <c r="P46" s="778"/>
      <c r="Q46" s="1392"/>
      <c r="R46" s="1368"/>
      <c r="S46" s="1392"/>
    </row>
    <row r="47" spans="1:21">
      <c r="B47" s="1392"/>
      <c r="C47" s="1392"/>
      <c r="D47" s="1430"/>
      <c r="E47" s="1289"/>
      <c r="F47" s="1430"/>
      <c r="G47" s="1430"/>
      <c r="H47" s="1430"/>
      <c r="I47" s="1430"/>
      <c r="J47" s="1430"/>
      <c r="K47" s="1289"/>
      <c r="M47" s="778"/>
      <c r="N47" s="778"/>
      <c r="O47" s="778"/>
      <c r="P47" s="778"/>
      <c r="Q47" s="1392"/>
      <c r="R47" s="1392"/>
      <c r="S47" s="1392"/>
    </row>
    <row r="48" spans="1:21">
      <c r="D48" s="1430"/>
      <c r="E48" s="1289"/>
      <c r="F48" s="1430"/>
      <c r="G48" s="1430"/>
      <c r="H48" s="1430"/>
      <c r="I48" s="1430"/>
      <c r="J48" s="1430"/>
      <c r="K48" s="1289"/>
      <c r="M48" s="778"/>
      <c r="N48" s="778"/>
      <c r="O48" s="778"/>
      <c r="P48" s="778"/>
    </row>
    <row r="49" spans="2:16">
      <c r="B49" s="1289"/>
      <c r="C49" s="1289"/>
      <c r="D49" s="1430"/>
      <c r="E49" s="1289"/>
      <c r="F49" s="1430"/>
      <c r="G49" s="1430"/>
      <c r="H49" s="1430"/>
      <c r="I49" s="1430"/>
      <c r="J49" s="1430"/>
      <c r="K49" s="1289"/>
      <c r="M49" s="778"/>
      <c r="N49" s="778"/>
      <c r="O49" s="778"/>
      <c r="P49" s="778"/>
    </row>
    <row r="50" spans="2:16">
      <c r="B50" s="1289"/>
      <c r="C50" s="1289"/>
      <c r="D50" s="1430"/>
      <c r="E50" s="1289"/>
      <c r="F50" s="1430"/>
      <c r="G50" s="1430"/>
      <c r="H50" s="1430"/>
      <c r="I50" s="1430"/>
      <c r="J50" s="1430"/>
      <c r="K50" s="1289"/>
      <c r="M50" s="778"/>
      <c r="N50" s="778"/>
      <c r="O50" s="778"/>
      <c r="P50" s="778"/>
    </row>
    <row r="51" spans="2:16">
      <c r="D51" s="1430"/>
      <c r="E51" s="1289"/>
      <c r="F51" s="1430"/>
      <c r="G51" s="1430"/>
      <c r="H51" s="1430"/>
      <c r="I51" s="1430"/>
      <c r="J51" s="1430"/>
      <c r="K51" s="1289"/>
      <c r="M51" s="778"/>
      <c r="N51" s="778"/>
      <c r="O51" s="778"/>
      <c r="P51" s="778"/>
    </row>
    <row r="52" spans="2:16">
      <c r="D52" s="1430"/>
      <c r="E52" s="1289"/>
      <c r="F52" s="1430"/>
      <c r="G52" s="1430"/>
      <c r="H52" s="1430"/>
      <c r="I52" s="1430"/>
      <c r="J52" s="1430"/>
      <c r="K52" s="1289"/>
      <c r="M52" s="778"/>
      <c r="N52" s="778"/>
      <c r="O52" s="778"/>
      <c r="P52" s="778"/>
    </row>
    <row r="53" spans="2:16">
      <c r="D53" s="1430"/>
      <c r="E53" s="1289"/>
      <c r="F53" s="1430"/>
      <c r="G53" s="1430"/>
      <c r="H53" s="1430"/>
      <c r="I53" s="1430"/>
      <c r="J53" s="1430"/>
      <c r="K53" s="1289"/>
      <c r="M53" s="778"/>
      <c r="N53" s="778"/>
      <c r="O53" s="778"/>
      <c r="P53" s="778"/>
    </row>
    <row r="54" spans="2:16">
      <c r="D54" s="1430"/>
      <c r="E54" s="1289"/>
      <c r="F54" s="1430"/>
      <c r="G54" s="1430"/>
      <c r="H54" s="1430"/>
      <c r="I54" s="1430"/>
      <c r="J54" s="1430"/>
      <c r="K54" s="1289"/>
      <c r="M54" s="778"/>
      <c r="N54" s="778"/>
      <c r="O54" s="778"/>
      <c r="P54" s="778"/>
    </row>
    <row r="55" spans="2:16">
      <c r="D55" s="1430"/>
      <c r="E55" s="1289"/>
      <c r="F55" s="1430"/>
      <c r="G55" s="1430"/>
      <c r="H55" s="1430"/>
      <c r="I55" s="1430"/>
      <c r="J55" s="1430"/>
      <c r="K55" s="1289"/>
      <c r="M55" s="778"/>
      <c r="N55" s="778"/>
      <c r="O55" s="778"/>
      <c r="P55" s="778"/>
    </row>
    <row r="56" spans="2:16">
      <c r="D56" s="1430"/>
      <c r="E56" s="1289"/>
      <c r="F56" s="1430"/>
      <c r="G56" s="1430"/>
      <c r="H56" s="1430"/>
      <c r="I56" s="1430"/>
      <c r="J56" s="1430"/>
      <c r="K56" s="1289"/>
      <c r="M56" s="778"/>
      <c r="N56" s="778"/>
      <c r="O56" s="778"/>
      <c r="P56" s="778"/>
    </row>
    <row r="57" spans="2:16">
      <c r="D57" s="1430"/>
      <c r="E57" s="1289"/>
      <c r="F57" s="1430"/>
      <c r="G57" s="1430"/>
      <c r="H57" s="1430"/>
      <c r="I57" s="1430"/>
      <c r="J57" s="1430"/>
      <c r="K57" s="1289"/>
      <c r="M57" s="778"/>
      <c r="N57" s="778"/>
      <c r="O57" s="778"/>
      <c r="P57" s="778"/>
    </row>
    <row r="58" spans="2:16">
      <c r="D58" s="1430"/>
      <c r="E58" s="1289"/>
      <c r="F58" s="1430"/>
      <c r="G58" s="1430"/>
      <c r="H58" s="1430"/>
      <c r="I58" s="1430"/>
      <c r="J58" s="1430"/>
      <c r="K58" s="1289"/>
      <c r="M58" s="778"/>
      <c r="N58" s="778"/>
      <c r="O58" s="778"/>
      <c r="P58" s="778"/>
    </row>
    <row r="59" spans="2:16">
      <c r="D59" s="1430"/>
      <c r="E59" s="1289"/>
      <c r="F59" s="1430"/>
      <c r="G59" s="1430"/>
      <c r="H59" s="1430"/>
      <c r="I59" s="1430"/>
      <c r="J59" s="1430"/>
      <c r="K59" s="1289"/>
      <c r="M59" s="778"/>
      <c r="N59" s="778"/>
      <c r="O59" s="778"/>
      <c r="P59" s="778"/>
    </row>
    <row r="60" spans="2:16">
      <c r="D60" s="1430"/>
      <c r="E60" s="1289"/>
      <c r="F60" s="1430"/>
      <c r="G60" s="1430"/>
      <c r="H60" s="1430"/>
      <c r="I60" s="1430"/>
      <c r="J60" s="1430"/>
      <c r="K60" s="1289"/>
      <c r="M60" s="778"/>
      <c r="N60" s="778"/>
      <c r="O60" s="778"/>
      <c r="P60" s="778"/>
    </row>
    <row r="61" spans="2:16">
      <c r="D61" s="1430"/>
      <c r="E61" s="1289"/>
      <c r="F61" s="1430"/>
      <c r="G61" s="1430"/>
      <c r="H61" s="1430"/>
      <c r="I61" s="1430"/>
      <c r="J61" s="1430"/>
      <c r="K61" s="1289"/>
      <c r="M61" s="778"/>
      <c r="N61" s="778"/>
      <c r="O61" s="778"/>
      <c r="P61" s="778"/>
    </row>
    <row r="62" spans="2:16">
      <c r="D62" s="1430"/>
      <c r="E62" s="1289"/>
      <c r="F62" s="1430"/>
      <c r="G62" s="1430"/>
      <c r="H62" s="1430"/>
      <c r="I62" s="1430"/>
      <c r="J62" s="1430"/>
      <c r="K62" s="1289"/>
      <c r="M62" s="778"/>
      <c r="N62" s="778"/>
      <c r="O62" s="778"/>
      <c r="P62" s="778"/>
    </row>
    <row r="63" spans="2:16">
      <c r="D63" s="1430"/>
      <c r="E63" s="1289"/>
      <c r="F63" s="1430"/>
      <c r="G63" s="1430"/>
      <c r="H63" s="1430"/>
      <c r="I63" s="1430"/>
      <c r="J63" s="1430"/>
      <c r="K63" s="1289"/>
      <c r="M63" s="778"/>
      <c r="N63" s="778"/>
      <c r="O63" s="778"/>
      <c r="P63" s="778"/>
    </row>
    <row r="64" spans="2:16">
      <c r="D64" s="1430"/>
      <c r="E64" s="1289"/>
      <c r="F64" s="1430"/>
      <c r="G64" s="1430"/>
      <c r="H64" s="1430"/>
      <c r="I64" s="1430"/>
      <c r="J64" s="1430"/>
      <c r="K64" s="1289"/>
      <c r="M64" s="778"/>
      <c r="N64" s="778"/>
      <c r="O64" s="778"/>
      <c r="P64" s="778"/>
    </row>
    <row r="65" spans="4:16">
      <c r="D65" s="1430"/>
      <c r="E65" s="1289"/>
      <c r="F65" s="1430"/>
      <c r="G65" s="1430"/>
      <c r="H65" s="1430"/>
      <c r="I65" s="1430"/>
      <c r="J65" s="1430"/>
      <c r="K65" s="1289"/>
      <c r="M65" s="778"/>
      <c r="N65" s="778"/>
      <c r="O65" s="778"/>
      <c r="P65" s="778"/>
    </row>
    <row r="66" spans="4:16">
      <c r="D66" s="1430"/>
      <c r="E66" s="1289"/>
      <c r="F66" s="1430"/>
      <c r="G66" s="1430"/>
      <c r="H66" s="1430"/>
      <c r="I66" s="1430"/>
      <c r="J66" s="1430"/>
      <c r="K66" s="1289"/>
      <c r="M66" s="778"/>
      <c r="N66" s="778"/>
      <c r="O66" s="778"/>
      <c r="P66" s="778"/>
    </row>
    <row r="67" spans="4:16">
      <c r="D67" s="1430"/>
      <c r="E67" s="1289"/>
      <c r="F67" s="1430"/>
      <c r="G67" s="1430"/>
      <c r="H67" s="1430"/>
      <c r="I67" s="1430"/>
      <c r="J67" s="1430"/>
      <c r="K67" s="1289"/>
      <c r="M67" s="778"/>
      <c r="N67" s="778"/>
      <c r="O67" s="778"/>
      <c r="P67" s="778"/>
    </row>
    <row r="68" spans="4:16">
      <c r="D68" s="1430"/>
      <c r="E68" s="1289"/>
      <c r="F68" s="1430"/>
      <c r="G68" s="1430"/>
      <c r="H68" s="1430"/>
      <c r="I68" s="1430"/>
      <c r="J68" s="1430"/>
      <c r="K68" s="1289"/>
      <c r="M68" s="778"/>
      <c r="N68" s="778"/>
      <c r="O68" s="778"/>
      <c r="P68" s="778"/>
    </row>
    <row r="69" spans="4:16">
      <c r="D69" s="1430"/>
      <c r="E69" s="1289"/>
      <c r="F69" s="1430"/>
      <c r="G69" s="1430"/>
      <c r="H69" s="1430"/>
      <c r="I69" s="1430"/>
      <c r="J69" s="1430"/>
      <c r="K69" s="1289"/>
      <c r="M69" s="778"/>
      <c r="N69" s="778"/>
      <c r="O69" s="778"/>
      <c r="P69" s="778"/>
    </row>
    <row r="70" spans="4:16">
      <c r="D70" s="1430"/>
      <c r="E70" s="1289"/>
      <c r="F70" s="1430"/>
      <c r="G70" s="1430"/>
      <c r="H70" s="1430"/>
      <c r="I70" s="1430"/>
      <c r="J70" s="1430"/>
      <c r="K70" s="1289"/>
      <c r="M70" s="778"/>
      <c r="N70" s="778"/>
      <c r="O70" s="778"/>
      <c r="P70" s="778"/>
    </row>
    <row r="71" spans="4:16">
      <c r="D71" s="1430"/>
      <c r="E71" s="1289"/>
      <c r="F71" s="1430"/>
      <c r="G71" s="1430"/>
      <c r="H71" s="1430"/>
      <c r="I71" s="1430"/>
      <c r="J71" s="1430"/>
      <c r="K71" s="1289"/>
      <c r="M71" s="778"/>
      <c r="N71" s="778"/>
      <c r="O71" s="778"/>
      <c r="P71" s="778"/>
    </row>
    <row r="72" spans="4:16">
      <c r="D72" s="1430"/>
      <c r="E72" s="1289"/>
      <c r="F72" s="1430"/>
      <c r="G72" s="1430"/>
      <c r="H72" s="1430"/>
      <c r="I72" s="1430"/>
      <c r="J72" s="1430"/>
      <c r="K72" s="1289"/>
      <c r="M72" s="778"/>
      <c r="N72" s="778"/>
      <c r="O72" s="778"/>
      <c r="P72" s="778"/>
    </row>
    <row r="73" spans="4:16">
      <c r="D73" s="1430"/>
      <c r="E73" s="1289"/>
      <c r="F73" s="1430"/>
      <c r="G73" s="1430"/>
      <c r="H73" s="1430"/>
      <c r="I73" s="1430"/>
      <c r="J73" s="1430"/>
      <c r="K73" s="1289"/>
      <c r="M73" s="778"/>
      <c r="N73" s="778"/>
      <c r="O73" s="778"/>
      <c r="P73" s="778"/>
    </row>
    <row r="74" spans="4:16">
      <c r="D74" s="1430"/>
      <c r="E74" s="1289"/>
      <c r="F74" s="1430"/>
      <c r="G74" s="1430"/>
      <c r="H74" s="1430"/>
      <c r="I74" s="1430"/>
      <c r="J74" s="1430"/>
      <c r="K74" s="1289"/>
      <c r="M74" s="778"/>
      <c r="N74" s="778"/>
      <c r="O74" s="778"/>
      <c r="P74" s="778"/>
    </row>
    <row r="75" spans="4:16">
      <c r="D75" s="1430"/>
      <c r="E75" s="1289"/>
      <c r="F75" s="1430"/>
      <c r="G75" s="1430"/>
      <c r="H75" s="1430"/>
      <c r="I75" s="1430"/>
      <c r="J75" s="1430"/>
      <c r="K75" s="1289"/>
      <c r="M75" s="778"/>
      <c r="N75" s="778"/>
      <c r="O75" s="778"/>
      <c r="P75" s="778"/>
    </row>
    <row r="76" spans="4:16">
      <c r="D76" s="1430"/>
      <c r="E76" s="1289"/>
      <c r="F76" s="1430"/>
      <c r="G76" s="1430"/>
      <c r="H76" s="1430"/>
      <c r="I76" s="1430"/>
      <c r="J76" s="1430"/>
      <c r="K76" s="1289"/>
      <c r="M76" s="778"/>
      <c r="N76" s="778"/>
      <c r="O76" s="778"/>
      <c r="P76" s="778"/>
    </row>
    <row r="77" spans="4:16">
      <c r="D77" s="1430"/>
      <c r="E77" s="1289"/>
      <c r="F77" s="1430"/>
      <c r="G77" s="1430"/>
      <c r="H77" s="1430"/>
      <c r="I77" s="1430"/>
      <c r="J77" s="1430"/>
      <c r="K77" s="1289"/>
      <c r="M77" s="778"/>
      <c r="N77" s="778"/>
      <c r="O77" s="778"/>
      <c r="P77" s="77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45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80"/>
  <sheetViews>
    <sheetView topLeftCell="A15" zoomScale="120" zoomScaleNormal="120" workbookViewId="0">
      <selection activeCell="A7" sqref="A7:XFD41"/>
    </sheetView>
  </sheetViews>
  <sheetFormatPr defaultRowHeight="15"/>
  <cols>
    <col min="1" max="1" width="8.5703125" style="769" customWidth="1"/>
    <col min="2" max="2" width="7.7109375" style="769" customWidth="1"/>
    <col min="3" max="3" width="8.7109375" style="769" customWidth="1"/>
    <col min="4" max="4" width="10.28515625" style="769" customWidth="1"/>
    <col min="5" max="5" width="7.85546875" style="769" customWidth="1"/>
    <col min="6" max="6" width="8.85546875" style="769" customWidth="1"/>
    <col min="7" max="7" width="7.7109375" style="769" customWidth="1"/>
    <col min="8" max="8" width="8.42578125" style="769" customWidth="1"/>
    <col min="9" max="9" width="10.28515625" style="769" customWidth="1"/>
    <col min="10" max="10" width="9.7109375" style="769" customWidth="1"/>
    <col min="11" max="11" width="9.85546875" style="769" customWidth="1"/>
    <col min="12" max="12" width="10.5703125" style="769" customWidth="1"/>
    <col min="13" max="13" width="9.140625" style="769" customWidth="1"/>
    <col min="14" max="14" width="9.42578125" style="769" customWidth="1"/>
    <col min="15" max="15" width="8.85546875" style="769" customWidth="1"/>
    <col min="16" max="16" width="9.7109375" style="769" customWidth="1"/>
    <col min="17" max="17" width="7.5703125" style="769" customWidth="1"/>
    <col min="18" max="16384" width="9.140625" style="769"/>
  </cols>
  <sheetData>
    <row r="2" spans="1:17" ht="45" customHeight="1">
      <c r="A2" s="766"/>
      <c r="B2" s="767"/>
      <c r="C2" s="767"/>
      <c r="D2" s="774"/>
      <c r="E2" s="774"/>
      <c r="F2" s="774"/>
      <c r="G2" s="2352" t="s">
        <v>2389</v>
      </c>
      <c r="H2" s="2352"/>
      <c r="I2" s="2352"/>
      <c r="J2" s="1377" t="s">
        <v>2388</v>
      </c>
      <c r="K2" s="1377"/>
      <c r="L2" s="1377"/>
      <c r="M2" s="1372"/>
      <c r="N2" s="767"/>
      <c r="O2" s="767"/>
      <c r="P2" s="2341" t="s">
        <v>2211</v>
      </c>
      <c r="Q2" s="2341"/>
    </row>
    <row r="3" spans="1:17">
      <c r="P3" s="2353" t="s">
        <v>24</v>
      </c>
      <c r="Q3" s="2353"/>
    </row>
    <row r="4" spans="1:17" s="1181" customFormat="1">
      <c r="A4" s="2354" t="s">
        <v>518</v>
      </c>
      <c r="B4" s="2343" t="s">
        <v>525</v>
      </c>
      <c r="C4" s="2357" t="s">
        <v>1561</v>
      </c>
      <c r="D4" s="2357"/>
      <c r="E4" s="2357"/>
      <c r="F4" s="2357" t="s">
        <v>2387</v>
      </c>
      <c r="G4" s="2357"/>
      <c r="H4" s="2357"/>
      <c r="I4" s="2357"/>
      <c r="J4" s="2357"/>
      <c r="K4" s="2343" t="s">
        <v>1591</v>
      </c>
      <c r="L4" s="2347" t="s">
        <v>1592</v>
      </c>
      <c r="M4" s="2347" t="s">
        <v>1556</v>
      </c>
      <c r="N4" s="2346" t="s">
        <v>1557</v>
      </c>
      <c r="O4" s="2347" t="s">
        <v>1577</v>
      </c>
      <c r="P4" s="2347" t="s">
        <v>1559</v>
      </c>
      <c r="Q4" s="2347" t="s">
        <v>1566</v>
      </c>
    </row>
    <row r="5" spans="1:17" s="1181" customFormat="1" ht="72">
      <c r="A5" s="2355"/>
      <c r="B5" s="2344"/>
      <c r="C5" s="1287" t="s">
        <v>1562</v>
      </c>
      <c r="D5" s="1282" t="s">
        <v>1563</v>
      </c>
      <c r="E5" s="1282" t="s">
        <v>1571</v>
      </c>
      <c r="F5" s="1282" t="s">
        <v>1564</v>
      </c>
      <c r="G5" s="1282" t="s">
        <v>1589</v>
      </c>
      <c r="H5" s="1282" t="s">
        <v>1565</v>
      </c>
      <c r="I5" s="1282" t="s">
        <v>1590</v>
      </c>
      <c r="J5" s="1282" t="s">
        <v>1570</v>
      </c>
      <c r="K5" s="2344"/>
      <c r="L5" s="2347"/>
      <c r="M5" s="2347"/>
      <c r="N5" s="2346"/>
      <c r="O5" s="2347"/>
      <c r="P5" s="2347"/>
      <c r="Q5" s="2347"/>
    </row>
    <row r="6" spans="1:17" s="1181" customFormat="1">
      <c r="A6" s="2356"/>
      <c r="B6" s="1287">
        <v>1</v>
      </c>
      <c r="C6" s="1282">
        <v>2</v>
      </c>
      <c r="D6" s="1282">
        <v>3</v>
      </c>
      <c r="E6" s="1282">
        <v>4</v>
      </c>
      <c r="F6" s="1282">
        <v>5</v>
      </c>
      <c r="G6" s="1282">
        <v>6</v>
      </c>
      <c r="H6" s="1282">
        <v>7</v>
      </c>
      <c r="I6" s="1282">
        <v>8</v>
      </c>
      <c r="J6" s="1282">
        <v>9</v>
      </c>
      <c r="K6" s="1282">
        <v>10</v>
      </c>
      <c r="L6" s="1282">
        <v>11</v>
      </c>
      <c r="M6" s="1282">
        <v>12</v>
      </c>
      <c r="N6" s="1282">
        <v>13</v>
      </c>
      <c r="O6" s="1282">
        <v>14</v>
      </c>
      <c r="P6" s="1282">
        <v>15</v>
      </c>
      <c r="Q6" s="1282">
        <v>16</v>
      </c>
    </row>
    <row r="7" spans="1:17" s="1181" customFormat="1" ht="11.85" customHeight="1">
      <c r="A7" s="1530" t="s">
        <v>1467</v>
      </c>
      <c r="B7" s="1543">
        <v>219839.3</v>
      </c>
      <c r="C7" s="1543">
        <v>317375.09999999998</v>
      </c>
      <c r="D7" s="1543">
        <v>1038405.3</v>
      </c>
      <c r="E7" s="1543">
        <v>1355780.4</v>
      </c>
      <c r="F7" s="1543">
        <v>139383</v>
      </c>
      <c r="G7" s="1543">
        <v>113589.4</v>
      </c>
      <c r="H7" s="1543">
        <v>894292.2</v>
      </c>
      <c r="I7" s="1543">
        <v>226328.5</v>
      </c>
      <c r="J7" s="1543">
        <v>1373593.1</v>
      </c>
      <c r="K7" s="1543">
        <v>466.8</v>
      </c>
      <c r="L7" s="1543">
        <v>1708</v>
      </c>
      <c r="M7" s="1543">
        <v>162.19999999999999</v>
      </c>
      <c r="N7" s="1543">
        <v>0</v>
      </c>
      <c r="O7" s="1543">
        <v>0</v>
      </c>
      <c r="P7" s="1543">
        <v>149063.6</v>
      </c>
      <c r="Q7" s="1543">
        <v>50626</v>
      </c>
    </row>
    <row r="8" spans="1:17" s="1181" customFormat="1" ht="11.85" customHeight="1">
      <c r="A8" s="1591" t="s">
        <v>1596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8" customFormat="1" ht="11.85" customHeight="1">
      <c r="A9" s="1531" t="s">
        <v>1691</v>
      </c>
      <c r="B9" s="1532">
        <v>250287.4</v>
      </c>
      <c r="C9" s="1532">
        <v>465640.7</v>
      </c>
      <c r="D9" s="1532">
        <v>1247986.8999999999</v>
      </c>
      <c r="E9" s="1532">
        <v>1713627.5999999999</v>
      </c>
      <c r="F9" s="1532">
        <v>190570.5</v>
      </c>
      <c r="G9" s="1532">
        <v>135586.20000000001</v>
      </c>
      <c r="H9" s="1532">
        <v>1090287</v>
      </c>
      <c r="I9" s="1532">
        <v>288223.59999999998</v>
      </c>
      <c r="J9" s="1532">
        <v>1704667.2999999998</v>
      </c>
      <c r="K9" s="1532">
        <v>1431.1</v>
      </c>
      <c r="L9" s="1532">
        <v>2131</v>
      </c>
      <c r="M9" s="1532">
        <v>127.3</v>
      </c>
      <c r="N9" s="1532">
        <v>0</v>
      </c>
      <c r="O9" s="1532">
        <v>0</v>
      </c>
      <c r="P9" s="1532">
        <v>162648.1</v>
      </c>
      <c r="Q9" s="1532">
        <v>92910.2</v>
      </c>
    </row>
    <row r="10" spans="1:17" s="778" customFormat="1" ht="11.85" customHeight="1">
      <c r="A10" s="1076" t="s">
        <v>1760</v>
      </c>
      <c r="B10" s="1533">
        <f>B22</f>
        <v>334673.7</v>
      </c>
      <c r="C10" s="1533">
        <f t="shared" ref="C10:Q10" si="0">C22</f>
        <v>548617.69999999995</v>
      </c>
      <c r="D10" s="1533">
        <f t="shared" si="0"/>
        <v>1349330.6</v>
      </c>
      <c r="E10" s="1533">
        <f t="shared" si="0"/>
        <v>1897948.3</v>
      </c>
      <c r="F10" s="1533">
        <f t="shared" si="0"/>
        <v>207949.2</v>
      </c>
      <c r="G10" s="1533">
        <f t="shared" si="0"/>
        <v>165171.20000000001</v>
      </c>
      <c r="H10" s="1533">
        <f t="shared" si="0"/>
        <v>1226821.1000000001</v>
      </c>
      <c r="I10" s="1533">
        <f t="shared" si="0"/>
        <v>329302.40000000002</v>
      </c>
      <c r="J10" s="1533">
        <f t="shared" si="0"/>
        <v>1929243.9</v>
      </c>
      <c r="K10" s="1533">
        <f t="shared" si="0"/>
        <v>1821.9</v>
      </c>
      <c r="L10" s="1533">
        <f t="shared" si="0"/>
        <v>2833.2</v>
      </c>
      <c r="M10" s="1533">
        <f t="shared" si="0"/>
        <v>147.80000000000001</v>
      </c>
      <c r="N10" s="1533">
        <f t="shared" si="0"/>
        <v>0</v>
      </c>
      <c r="O10" s="1533">
        <f t="shared" si="0"/>
        <v>0</v>
      </c>
      <c r="P10" s="1533">
        <f t="shared" si="0"/>
        <v>186910.6</v>
      </c>
      <c r="Q10" s="1533">
        <f t="shared" si="0"/>
        <v>111664.6</v>
      </c>
    </row>
    <row r="11" spans="1:17" s="778" customFormat="1" ht="11.85" customHeight="1">
      <c r="A11" s="1077" t="s">
        <v>603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41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8" customFormat="1" ht="11.85" customHeight="1">
      <c r="A12" s="1078" t="s">
        <v>604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8" customFormat="1" ht="11.85" customHeight="1">
      <c r="A13" s="1077" t="s">
        <v>598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8" customFormat="1" ht="11.85" customHeight="1">
      <c r="A14" s="1078" t="s">
        <v>605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8" customFormat="1" ht="11.85" customHeight="1">
      <c r="A15" s="1077" t="s">
        <v>606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1.85" customHeight="1">
      <c r="A16" s="1078" t="s">
        <v>599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8" customFormat="1" ht="11.85" customHeight="1">
      <c r="A17" s="1077" t="s">
        <v>607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8" customFormat="1" ht="11.85" customHeight="1">
      <c r="A18" s="1078" t="s">
        <v>608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8" customFormat="1" ht="11.85" customHeight="1">
      <c r="A19" s="1077" t="s">
        <v>600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8" customFormat="1" ht="11.85" customHeight="1">
      <c r="A20" s="1078" t="s">
        <v>609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8" customFormat="1" ht="11.85" customHeight="1">
      <c r="A21" s="1077" t="s">
        <v>610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8" customFormat="1" ht="11.85" customHeight="1">
      <c r="A22" s="1078" t="s">
        <v>601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8" customFormat="1" ht="11.85" customHeight="1">
      <c r="A23" s="1180" t="s">
        <v>2160</v>
      </c>
      <c r="B23" s="1532">
        <f>B35</f>
        <v>304447.5</v>
      </c>
      <c r="C23" s="1532">
        <f t="shared" ref="C23:Q23" si="3">C35</f>
        <v>631729.80000000005</v>
      </c>
      <c r="D23" s="1532">
        <f t="shared" si="3"/>
        <v>1539232.5</v>
      </c>
      <c r="E23" s="1532">
        <f t="shared" si="3"/>
        <v>2170962.2999999998</v>
      </c>
      <c r="F23" s="1532">
        <f t="shared" si="3"/>
        <v>234783</v>
      </c>
      <c r="G23" s="1532">
        <f t="shared" si="3"/>
        <v>189735</v>
      </c>
      <c r="H23" s="1532">
        <f t="shared" si="3"/>
        <v>1324229.7</v>
      </c>
      <c r="I23" s="1532">
        <f t="shared" si="3"/>
        <v>350604.9</v>
      </c>
      <c r="J23" s="1532">
        <f t="shared" si="3"/>
        <v>2099352.6</v>
      </c>
      <c r="K23" s="1532">
        <f t="shared" si="3"/>
        <v>1590.4</v>
      </c>
      <c r="L23" s="1532">
        <f t="shared" si="3"/>
        <v>3021</v>
      </c>
      <c r="M23" s="1532">
        <f t="shared" si="3"/>
        <v>350.8</v>
      </c>
      <c r="N23" s="1532">
        <f t="shared" si="3"/>
        <v>0</v>
      </c>
      <c r="O23" s="1532">
        <f t="shared" si="3"/>
        <v>0</v>
      </c>
      <c r="P23" s="1532">
        <f t="shared" si="3"/>
        <v>206528.8</v>
      </c>
      <c r="Q23" s="1532">
        <f t="shared" si="3"/>
        <v>164566.1</v>
      </c>
    </row>
    <row r="24" spans="1:17" s="778" customFormat="1" ht="11.85" customHeight="1">
      <c r="A24" s="1078" t="s">
        <v>603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8" customFormat="1" ht="11.85" customHeight="1">
      <c r="A25" s="1077" t="s">
        <v>604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8" customFormat="1" ht="11.85" customHeight="1">
      <c r="A26" s="1078" t="s">
        <v>598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8" customFormat="1" ht="11.85" customHeight="1">
      <c r="A27" s="1077" t="s">
        <v>605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8" customFormat="1" ht="11.85" customHeight="1">
      <c r="A28" s="1078" t="s">
        <v>606</v>
      </c>
      <c r="B28" s="507">
        <v>314277.90000000002</v>
      </c>
      <c r="C28" s="507">
        <v>577140</v>
      </c>
      <c r="D28" s="507">
        <v>1405314</v>
      </c>
      <c r="E28" s="507">
        <f t="shared" ref="E28:E41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8" customFormat="1" ht="11.85" customHeight="1">
      <c r="A29" s="1077" t="s">
        <v>599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8" customFormat="1" ht="11.85" customHeight="1">
      <c r="A30" s="1078" t="s">
        <v>607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8" customFormat="1" ht="11.85" customHeight="1">
      <c r="A31" s="1077" t="s">
        <v>608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8" customFormat="1" ht="11.85" customHeight="1">
      <c r="A32" s="1078" t="s">
        <v>600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8" customFormat="1" ht="11.85" customHeight="1">
      <c r="A33" s="1077" t="s">
        <v>609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8" customFormat="1" ht="11.85" customHeight="1">
      <c r="A34" s="1078" t="s">
        <v>610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8" customFormat="1" ht="11.85" customHeight="1">
      <c r="A35" s="1077" t="s">
        <v>601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8" customFormat="1" ht="11.85" customHeight="1">
      <c r="A36" s="1076" t="s">
        <v>2545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8" customFormat="1" ht="11.85" customHeight="1">
      <c r="A37" s="1077" t="s">
        <v>603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213112.8</v>
      </c>
      <c r="Q37" s="488">
        <v>154254.70000000001</v>
      </c>
    </row>
    <row r="38" spans="1:38" s="778" customFormat="1" ht="11.85" customHeight="1">
      <c r="A38" s="1078" t="s">
        <v>604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2231.1999999999998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214757.1</v>
      </c>
      <c r="Q38" s="507">
        <v>150787.9</v>
      </c>
    </row>
    <row r="39" spans="1:38" s="778" customFormat="1" ht="11.85" customHeight="1">
      <c r="A39" s="1077" t="s">
        <v>598</v>
      </c>
      <c r="B39" s="488">
        <v>279452.09999999998</v>
      </c>
      <c r="C39" s="488">
        <v>643380.1</v>
      </c>
      <c r="D39" s="488">
        <v>1570530.1</v>
      </c>
      <c r="E39" s="488">
        <f t="shared" si="4"/>
        <v>2213910.2000000002</v>
      </c>
      <c r="F39" s="488">
        <v>238302</v>
      </c>
      <c r="G39" s="488">
        <v>179326.6</v>
      </c>
      <c r="H39" s="488">
        <v>1347573.2</v>
      </c>
      <c r="I39" s="488">
        <v>351320.3</v>
      </c>
      <c r="J39" s="488">
        <f t="shared" si="2"/>
        <v>2116522.0999999996</v>
      </c>
      <c r="K39" s="488">
        <v>2164.1</v>
      </c>
      <c r="L39" s="488">
        <v>2790.8</v>
      </c>
      <c r="M39" s="488">
        <v>226.8</v>
      </c>
      <c r="N39" s="488">
        <v>0</v>
      </c>
      <c r="O39" s="488">
        <v>0</v>
      </c>
      <c r="P39" s="488">
        <v>216724.6</v>
      </c>
      <c r="Q39" s="488">
        <v>154933.70000000001</v>
      </c>
    </row>
    <row r="40" spans="1:38" s="778" customFormat="1" ht="11.85" customHeight="1">
      <c r="A40" s="1078" t="s">
        <v>605</v>
      </c>
      <c r="B40" s="507">
        <v>270630.59999999998</v>
      </c>
      <c r="C40" s="507">
        <v>655006.19999999995</v>
      </c>
      <c r="D40" s="507">
        <v>1582792.2</v>
      </c>
      <c r="E40" s="507">
        <f t="shared" si="4"/>
        <v>2237798.3999999999</v>
      </c>
      <c r="F40" s="507">
        <v>234409.4</v>
      </c>
      <c r="G40" s="507">
        <v>179184.8</v>
      </c>
      <c r="H40" s="507">
        <v>1352444.7</v>
      </c>
      <c r="I40" s="507">
        <v>350456.3</v>
      </c>
      <c r="J40" s="507">
        <f t="shared" si="2"/>
        <v>2116495.1999999997</v>
      </c>
      <c r="K40" s="507">
        <v>2266.9</v>
      </c>
      <c r="L40" s="507">
        <v>2712.5</v>
      </c>
      <c r="M40" s="507">
        <v>361.6</v>
      </c>
      <c r="N40" s="507">
        <v>0</v>
      </c>
      <c r="O40" s="507">
        <v>0</v>
      </c>
      <c r="P40" s="507">
        <v>224630.2</v>
      </c>
      <c r="Q40" s="507">
        <v>161962.70000000001</v>
      </c>
    </row>
    <row r="41" spans="1:38" s="778" customFormat="1" ht="11.85" customHeight="1" thickBot="1">
      <c r="A41" s="1680" t="s">
        <v>606</v>
      </c>
      <c r="B41" s="1681">
        <v>261541</v>
      </c>
      <c r="C41" s="1681">
        <v>660470.44999999995</v>
      </c>
      <c r="D41" s="1681">
        <v>1596504.5</v>
      </c>
      <c r="E41" s="1681">
        <f t="shared" si="4"/>
        <v>2256974.9500000002</v>
      </c>
      <c r="F41" s="1681">
        <v>233386.15</v>
      </c>
      <c r="G41" s="1681">
        <v>178534.7</v>
      </c>
      <c r="H41" s="1681">
        <v>1362122.45</v>
      </c>
      <c r="I41" s="1681">
        <v>350596.75</v>
      </c>
      <c r="J41" s="1681">
        <f t="shared" si="2"/>
        <v>2124640.0499999998</v>
      </c>
      <c r="K41" s="1681">
        <v>2221</v>
      </c>
      <c r="L41" s="1681">
        <v>2616.6999999999998</v>
      </c>
      <c r="M41" s="1681">
        <v>300</v>
      </c>
      <c r="N41" s="1681">
        <v>0</v>
      </c>
      <c r="O41" s="1681">
        <v>0</v>
      </c>
      <c r="P41" s="1681">
        <v>226436.1</v>
      </c>
      <c r="Q41" s="1681">
        <v>162302.20000000001</v>
      </c>
    </row>
    <row r="42" spans="1:38" ht="16.5" customHeight="1">
      <c r="A42" s="772" t="s">
        <v>1506</v>
      </c>
      <c r="B42" s="773" t="s">
        <v>1362</v>
      </c>
      <c r="G42" s="778" t="s">
        <v>1465</v>
      </c>
      <c r="I42" s="1352"/>
      <c r="J42" s="783"/>
      <c r="K42" s="783"/>
      <c r="L42" s="1431"/>
      <c r="M42" s="1431"/>
      <c r="N42" s="783"/>
      <c r="O42" s="1431"/>
      <c r="P42" s="783"/>
      <c r="Q42" s="1353"/>
      <c r="R42" s="1289"/>
    </row>
    <row r="43" spans="1:38" ht="14.25" customHeight="1">
      <c r="B43" s="1430"/>
      <c r="C43" s="1383"/>
      <c r="D43" s="1430"/>
      <c r="E43" s="1430"/>
      <c r="F43" s="1383"/>
      <c r="G43" s="1383"/>
      <c r="H43" s="1383"/>
      <c r="I43" s="778"/>
      <c r="J43" s="1383"/>
      <c r="K43" s="1368"/>
      <c r="L43" s="1368"/>
      <c r="M43" s="1368"/>
      <c r="N43" s="1368"/>
      <c r="O43" s="1431"/>
      <c r="P43" s="779"/>
      <c r="Q43" s="779"/>
      <c r="R43" s="1289"/>
    </row>
    <row r="44" spans="1:38" ht="14.25" customHeight="1">
      <c r="A44" s="1430"/>
      <c r="B44" s="1430"/>
      <c r="C44" s="1383"/>
      <c r="D44" s="1430"/>
      <c r="E44" s="1430"/>
      <c r="F44" s="1383"/>
      <c r="G44" s="1383"/>
      <c r="H44" s="1383"/>
      <c r="I44" s="1511"/>
      <c r="J44" s="1383"/>
      <c r="K44" s="1368"/>
      <c r="L44" s="1368"/>
      <c r="M44" s="1368"/>
      <c r="N44" s="1368"/>
      <c r="O44" s="1431"/>
      <c r="P44" s="1511"/>
      <c r="Q44" s="1513"/>
      <c r="R44" s="1289"/>
      <c r="S44" s="1493"/>
      <c r="T44" s="1493"/>
      <c r="U44" s="1493"/>
      <c r="V44" s="1493"/>
      <c r="W44" s="1493"/>
      <c r="X44" s="1493"/>
      <c r="Y44" s="1493"/>
      <c r="Z44" s="1493"/>
      <c r="AA44" s="1493"/>
      <c r="AB44" s="1493"/>
      <c r="AC44" s="1493"/>
      <c r="AD44" s="1493"/>
      <c r="AE44" s="1493"/>
      <c r="AF44" s="1493"/>
      <c r="AG44" s="1493"/>
      <c r="AH44" s="1493"/>
      <c r="AI44" s="1493"/>
      <c r="AJ44" s="1493"/>
      <c r="AK44" s="1493"/>
      <c r="AL44" s="1493"/>
    </row>
    <row r="45" spans="1:38">
      <c r="A45" s="1430"/>
      <c r="B45" s="1430"/>
      <c r="C45" s="1383"/>
      <c r="D45" s="1430"/>
      <c r="E45" s="1430"/>
      <c r="F45" s="1383"/>
      <c r="G45" s="1383"/>
      <c r="H45" s="1383"/>
      <c r="I45" s="1511"/>
      <c r="J45" s="1383"/>
      <c r="K45" s="1368"/>
      <c r="L45" s="1368"/>
      <c r="M45" s="1368"/>
      <c r="N45" s="1368"/>
      <c r="O45" s="1431"/>
      <c r="P45" s="1511"/>
      <c r="Q45" s="1511"/>
      <c r="R45" s="1289"/>
      <c r="S45" s="1493"/>
      <c r="T45" s="1493"/>
      <c r="U45" s="1493"/>
      <c r="V45" s="1493"/>
      <c r="W45" s="1493"/>
      <c r="X45" s="1493"/>
      <c r="Y45" s="1493"/>
      <c r="Z45" s="1493"/>
      <c r="AA45" s="1493"/>
      <c r="AB45" s="1493"/>
      <c r="AC45" s="1493"/>
      <c r="AD45" s="1493"/>
      <c r="AE45" s="1493"/>
      <c r="AF45" s="1493"/>
      <c r="AG45" s="1493"/>
      <c r="AH45" s="1493"/>
      <c r="AI45" s="1493"/>
      <c r="AJ45" s="1493"/>
      <c r="AK45" s="1493"/>
      <c r="AL45" s="1493"/>
    </row>
    <row r="46" spans="1:38">
      <c r="A46" s="1430"/>
      <c r="B46" s="1430"/>
      <c r="C46" s="1383"/>
      <c r="D46" s="1430"/>
      <c r="E46" s="1430"/>
      <c r="F46" s="1383"/>
      <c r="G46" s="1383"/>
      <c r="H46" s="1383"/>
      <c r="I46" s="1510"/>
      <c r="J46" s="1383"/>
      <c r="K46" s="1368"/>
      <c r="L46" s="1368"/>
      <c r="M46" s="1368"/>
      <c r="N46" s="1368"/>
      <c r="O46" s="1431"/>
      <c r="P46" s="1510"/>
      <c r="Q46" s="1510"/>
      <c r="R46" s="1289"/>
      <c r="S46" s="1383"/>
      <c r="T46" s="1383"/>
      <c r="U46" s="1383"/>
      <c r="V46" s="1383"/>
      <c r="W46" s="1383"/>
      <c r="X46" s="1383"/>
      <c r="Y46" s="1383"/>
      <c r="Z46" s="1383"/>
      <c r="AA46" s="1383"/>
      <c r="AB46" s="1383"/>
      <c r="AC46" s="1383"/>
      <c r="AD46" s="1383"/>
      <c r="AE46" s="1383"/>
      <c r="AF46" s="1383"/>
      <c r="AG46" s="1383"/>
      <c r="AH46" s="1383"/>
      <c r="AI46" s="1383"/>
      <c r="AJ46" s="1383"/>
      <c r="AK46" s="1383"/>
      <c r="AL46" s="1383"/>
    </row>
    <row r="47" spans="1:38">
      <c r="A47" s="1430"/>
      <c r="B47" s="1430"/>
      <c r="C47" s="1383"/>
      <c r="D47" s="1430"/>
      <c r="E47" s="1430"/>
      <c r="F47" s="1383"/>
      <c r="G47" s="1383"/>
      <c r="H47" s="1383"/>
      <c r="I47" s="1510"/>
      <c r="J47" s="1383"/>
      <c r="K47" s="1368"/>
      <c r="L47" s="1368"/>
      <c r="M47" s="1368"/>
      <c r="N47" s="1368"/>
      <c r="O47" s="1431"/>
      <c r="P47" s="1510"/>
      <c r="Q47" s="1510"/>
      <c r="R47" s="1510"/>
      <c r="S47" s="1430"/>
      <c r="T47" s="1430"/>
      <c r="U47" s="1430"/>
      <c r="V47" s="1430"/>
      <c r="W47" s="1430"/>
      <c r="X47" s="1430"/>
      <c r="Y47" s="1430"/>
      <c r="Z47" s="1430"/>
      <c r="AA47" s="1430"/>
      <c r="AB47" s="1430"/>
      <c r="AC47" s="1430"/>
      <c r="AD47" s="1430"/>
      <c r="AE47" s="1430"/>
      <c r="AF47" s="1430"/>
      <c r="AG47" s="1430"/>
      <c r="AH47" s="1430"/>
      <c r="AI47" s="1430"/>
      <c r="AJ47" s="1430"/>
      <c r="AK47" s="1430"/>
      <c r="AL47" s="1430"/>
    </row>
    <row r="48" spans="1:38">
      <c r="A48" s="1430"/>
      <c r="B48" s="1430"/>
      <c r="C48" s="1508"/>
      <c r="D48" s="1430"/>
      <c r="E48" s="1430"/>
      <c r="F48" s="1510"/>
      <c r="G48" s="1514"/>
      <c r="H48" s="1514"/>
      <c r="I48" s="1511"/>
      <c r="J48" s="1512"/>
      <c r="K48" s="1368"/>
      <c r="L48" s="1368"/>
      <c r="M48" s="1368"/>
      <c r="N48" s="1368"/>
      <c r="O48" s="1431"/>
      <c r="P48" s="1510"/>
      <c r="Q48" s="1510"/>
      <c r="R48" s="1511"/>
    </row>
    <row r="49" spans="1:18">
      <c r="A49" s="1430"/>
      <c r="B49" s="1430"/>
      <c r="C49" s="1508"/>
      <c r="D49" s="1430"/>
      <c r="E49" s="1430"/>
      <c r="F49" s="1510"/>
      <c r="G49" s="1511"/>
      <c r="H49" s="1511"/>
      <c r="I49" s="1511"/>
      <c r="J49" s="1512"/>
      <c r="K49" s="1368"/>
      <c r="L49" s="1368"/>
      <c r="M49" s="1368"/>
      <c r="N49" s="1368"/>
      <c r="O49" s="1431"/>
      <c r="P49" s="1511"/>
      <c r="Q49" s="1511"/>
      <c r="R49" s="1511"/>
    </row>
    <row r="50" spans="1:18">
      <c r="A50" s="1430"/>
      <c r="B50" s="1430"/>
      <c r="C50" s="1508"/>
      <c r="D50" s="1430"/>
      <c r="E50" s="1430"/>
      <c r="F50" s="1510"/>
      <c r="G50" s="1510"/>
      <c r="H50" s="1510"/>
      <c r="I50" s="1511"/>
      <c r="J50" s="1512"/>
      <c r="K50" s="1368"/>
      <c r="L50" s="1368"/>
      <c r="M50" s="1368"/>
      <c r="N50" s="1368"/>
      <c r="O50" s="1431"/>
      <c r="P50" s="1510"/>
      <c r="Q50" s="1510"/>
      <c r="R50" s="1511"/>
    </row>
    <row r="51" spans="1:18">
      <c r="A51" s="1430"/>
      <c r="B51" s="1430"/>
      <c r="C51" s="1508"/>
      <c r="D51" s="1430"/>
      <c r="E51" s="1430"/>
      <c r="F51" s="1510"/>
      <c r="G51" s="1510"/>
      <c r="H51" s="1510"/>
      <c r="I51" s="1511"/>
      <c r="J51" s="1512"/>
      <c r="K51" s="1368"/>
      <c r="L51" s="1368"/>
      <c r="M51" s="1368"/>
      <c r="N51" s="1368"/>
      <c r="O51" s="1431"/>
      <c r="P51" s="1510"/>
      <c r="Q51" s="1510"/>
      <c r="R51" s="1511"/>
    </row>
    <row r="52" spans="1:18">
      <c r="A52" s="1430"/>
      <c r="B52" s="1430"/>
      <c r="C52" s="1491"/>
      <c r="D52" s="1430"/>
      <c r="E52" s="1430"/>
      <c r="F52" s="1510"/>
      <c r="G52" s="1511"/>
      <c r="H52" s="1511"/>
      <c r="I52" s="1511"/>
      <c r="J52" s="1512"/>
      <c r="K52" s="1368"/>
      <c r="L52" s="1368"/>
      <c r="M52" s="1368"/>
      <c r="N52" s="1368"/>
      <c r="O52" s="1431"/>
      <c r="P52" s="1511"/>
      <c r="Q52" s="1511"/>
      <c r="R52" s="1511"/>
    </row>
    <row r="53" spans="1:18">
      <c r="A53" s="1430"/>
      <c r="B53" s="1430"/>
      <c r="C53" s="1491"/>
      <c r="D53" s="1430"/>
      <c r="E53" s="1430"/>
      <c r="F53" s="1510"/>
      <c r="G53" s="1511"/>
      <c r="H53" s="1511"/>
      <c r="I53" s="1511"/>
      <c r="J53" s="1512"/>
      <c r="K53" s="1368"/>
      <c r="L53" s="1368"/>
      <c r="M53" s="1368"/>
      <c r="N53" s="1368"/>
      <c r="O53" s="1431"/>
      <c r="P53" s="1511"/>
      <c r="Q53" s="1511"/>
      <c r="R53" s="1511"/>
    </row>
    <row r="54" spans="1:18">
      <c r="A54" s="1430"/>
      <c r="B54" s="1430"/>
      <c r="C54" s="1491"/>
      <c r="D54" s="1430"/>
      <c r="E54" s="1430"/>
      <c r="F54" s="1510"/>
      <c r="G54" s="1511"/>
      <c r="H54" s="1511"/>
      <c r="I54" s="1511"/>
      <c r="J54" s="1512"/>
      <c r="K54" s="1368"/>
      <c r="L54" s="1368"/>
      <c r="M54" s="1368"/>
      <c r="N54" s="1368"/>
      <c r="O54" s="1431"/>
      <c r="P54" s="1511"/>
      <c r="Q54" s="1511"/>
      <c r="R54" s="1511"/>
    </row>
    <row r="55" spans="1:18">
      <c r="A55" s="1430"/>
      <c r="B55" s="1430"/>
      <c r="C55" s="1491"/>
      <c r="D55" s="1430"/>
      <c r="E55" s="1430"/>
      <c r="F55" s="1511"/>
      <c r="G55" s="1511"/>
      <c r="H55" s="1511"/>
      <c r="I55" s="1511"/>
      <c r="J55" s="1512"/>
      <c r="K55" s="1368"/>
      <c r="L55" s="1368"/>
      <c r="M55" s="1368"/>
      <c r="N55" s="1368"/>
      <c r="O55" s="1431"/>
      <c r="P55" s="1511"/>
      <c r="Q55" s="1511"/>
      <c r="R55" s="1511"/>
    </row>
    <row r="56" spans="1:18">
      <c r="A56" s="1430"/>
      <c r="B56" s="1430"/>
      <c r="C56" s="1493"/>
      <c r="D56" s="1430"/>
      <c r="E56" s="1289"/>
      <c r="F56" s="1511"/>
      <c r="G56" s="1511"/>
      <c r="H56" s="1511"/>
      <c r="I56" s="1511"/>
      <c r="J56" s="1512"/>
      <c r="K56" s="1368"/>
      <c r="L56" s="1368"/>
      <c r="M56" s="1368"/>
      <c r="N56" s="1368"/>
      <c r="O56" s="1431"/>
      <c r="P56" s="1511"/>
      <c r="Q56" s="1511"/>
      <c r="R56" s="1511"/>
    </row>
    <row r="57" spans="1:18">
      <c r="A57" s="1430"/>
      <c r="B57" s="1430"/>
      <c r="C57" s="1493"/>
      <c r="D57" s="1430"/>
      <c r="E57" s="1289"/>
      <c r="F57" s="1511"/>
      <c r="G57" s="1511"/>
      <c r="H57" s="1511"/>
      <c r="I57" s="1511"/>
      <c r="J57" s="1512"/>
      <c r="K57" s="1368"/>
      <c r="L57" s="1368"/>
      <c r="M57" s="1368"/>
      <c r="N57" s="1368"/>
      <c r="O57" s="1431"/>
      <c r="P57" s="1515"/>
      <c r="Q57" s="1515"/>
      <c r="R57" s="1515"/>
    </row>
    <row r="58" spans="1:18">
      <c r="A58" s="1430"/>
      <c r="B58" s="1430"/>
      <c r="C58" s="1493"/>
      <c r="D58" s="1430"/>
      <c r="E58" s="1289"/>
      <c r="F58" s="1511"/>
      <c r="G58" s="1511"/>
      <c r="H58" s="1511"/>
      <c r="I58" s="1511"/>
      <c r="J58" s="1512"/>
      <c r="K58" s="1368"/>
      <c r="L58" s="1368"/>
      <c r="M58" s="1368"/>
      <c r="N58" s="1368"/>
      <c r="O58" s="1431"/>
      <c r="P58" s="1515"/>
      <c r="Q58" s="1515"/>
      <c r="R58" s="1515"/>
    </row>
    <row r="59" spans="1:18">
      <c r="A59" s="1430"/>
      <c r="B59" s="1430"/>
      <c r="C59" s="1493"/>
      <c r="D59" s="1430"/>
      <c r="E59" s="1289"/>
      <c r="F59" s="1511"/>
      <c r="G59" s="1511"/>
      <c r="H59" s="1511"/>
      <c r="I59" s="1511"/>
      <c r="J59" s="1512"/>
      <c r="K59" s="1368"/>
      <c r="L59" s="1368"/>
      <c r="M59" s="1368"/>
      <c r="N59" s="1368"/>
      <c r="O59" s="1431"/>
      <c r="P59" s="1515"/>
      <c r="Q59" s="1515"/>
      <c r="R59" s="1515"/>
    </row>
    <row r="60" spans="1:18">
      <c r="A60" s="1430"/>
      <c r="B60" s="1430"/>
      <c r="C60" s="1493"/>
      <c r="D60" s="1430"/>
      <c r="E60" s="1289"/>
      <c r="F60" s="1511"/>
      <c r="G60" s="1511"/>
      <c r="H60" s="1511"/>
      <c r="I60" s="1511"/>
      <c r="J60" s="1512"/>
      <c r="K60" s="1368"/>
      <c r="L60" s="1368"/>
      <c r="M60" s="1368"/>
      <c r="N60" s="1368"/>
      <c r="O60" s="1431"/>
      <c r="P60" s="1515"/>
      <c r="Q60" s="1515"/>
      <c r="R60" s="1515"/>
    </row>
    <row r="61" spans="1:18">
      <c r="A61" s="1430"/>
      <c r="B61" s="1430"/>
      <c r="C61" s="1493"/>
      <c r="D61" s="1430"/>
      <c r="E61" s="1289"/>
      <c r="F61" s="1511"/>
      <c r="G61" s="1511"/>
      <c r="H61" s="1511"/>
      <c r="I61" s="1511"/>
      <c r="J61" s="1512"/>
      <c r="K61" s="1368"/>
      <c r="L61" s="1368"/>
      <c r="M61" s="1368"/>
      <c r="N61" s="1368"/>
      <c r="O61" s="1431"/>
      <c r="P61" s="1515"/>
      <c r="Q61" s="1515"/>
      <c r="R61" s="1515"/>
    </row>
    <row r="62" spans="1:18">
      <c r="A62" s="1430"/>
      <c r="B62" s="1430"/>
      <c r="C62" s="1493"/>
      <c r="D62" s="1430"/>
      <c r="E62" s="1289"/>
      <c r="F62" s="1511"/>
      <c r="G62" s="1511"/>
      <c r="H62" s="1511"/>
      <c r="I62" s="1511"/>
      <c r="J62" s="1512"/>
      <c r="K62" s="1368"/>
      <c r="L62" s="1368"/>
      <c r="M62" s="1368"/>
      <c r="N62" s="1368"/>
      <c r="O62" s="1431"/>
      <c r="P62" s="1515"/>
      <c r="Q62" s="1515"/>
      <c r="R62" s="1515"/>
    </row>
    <row r="63" spans="1:18">
      <c r="A63" s="1430"/>
      <c r="B63" s="1430"/>
      <c r="C63" s="1493"/>
      <c r="D63" s="1430"/>
      <c r="E63" s="1289"/>
      <c r="F63" s="1511"/>
      <c r="G63" s="1511"/>
      <c r="H63" s="1511"/>
      <c r="I63" s="1511"/>
      <c r="J63" s="1512"/>
      <c r="K63" s="1368"/>
      <c r="L63" s="1368"/>
      <c r="M63" s="1368"/>
      <c r="N63" s="1368"/>
      <c r="O63" s="1431"/>
      <c r="P63" s="1515"/>
      <c r="Q63" s="1515"/>
      <c r="R63" s="1515"/>
    </row>
    <row r="64" spans="1:18">
      <c r="A64" s="1430"/>
      <c r="B64" s="1430"/>
      <c r="C64" s="1493"/>
      <c r="D64" s="1430"/>
      <c r="E64" s="1289"/>
      <c r="F64" s="1511"/>
      <c r="G64" s="1511"/>
      <c r="H64" s="1511"/>
      <c r="I64" s="1511"/>
      <c r="J64" s="1512"/>
      <c r="K64" s="1368"/>
      <c r="L64" s="1368"/>
      <c r="M64" s="1368"/>
      <c r="N64" s="1368"/>
      <c r="O64" s="1431"/>
      <c r="P64" s="1515"/>
      <c r="Q64" s="1515"/>
      <c r="R64" s="1515"/>
    </row>
    <row r="65" spans="1:18">
      <c r="A65" s="1430"/>
      <c r="B65" s="1430"/>
      <c r="C65" s="1493"/>
      <c r="D65" s="1430"/>
      <c r="E65" s="1289"/>
      <c r="F65" s="1511"/>
      <c r="G65" s="1511"/>
      <c r="H65" s="1511"/>
      <c r="I65" s="1511"/>
      <c r="J65" s="1512"/>
      <c r="K65" s="1368"/>
      <c r="L65" s="1368"/>
      <c r="M65" s="1368"/>
      <c r="N65" s="1368"/>
      <c r="O65" s="1431"/>
      <c r="P65" s="1515"/>
      <c r="Q65" s="1515"/>
      <c r="R65" s="1515"/>
    </row>
    <row r="66" spans="1:18">
      <c r="A66" s="1430"/>
      <c r="B66" s="1430"/>
      <c r="C66" s="1493"/>
      <c r="D66" s="1430"/>
      <c r="E66" s="1289"/>
      <c r="F66" s="1511"/>
      <c r="G66" s="1511"/>
      <c r="H66" s="1511"/>
      <c r="I66" s="1511"/>
      <c r="J66" s="1512"/>
      <c r="K66" s="1368"/>
      <c r="L66" s="1368"/>
      <c r="M66" s="1368"/>
      <c r="N66" s="1368"/>
      <c r="O66" s="1431"/>
      <c r="P66" s="1515"/>
      <c r="Q66" s="1515"/>
      <c r="R66" s="1515"/>
    </row>
    <row r="67" spans="1:18">
      <c r="A67" s="1430"/>
      <c r="B67" s="1430"/>
      <c r="C67" s="1493"/>
      <c r="D67" s="1430"/>
      <c r="E67" s="1289"/>
      <c r="F67" s="1511"/>
      <c r="G67" s="1511"/>
      <c r="H67" s="1511"/>
      <c r="I67" s="1511"/>
      <c r="J67" s="1512"/>
      <c r="K67" s="1368"/>
      <c r="L67" s="1368"/>
      <c r="M67" s="1368"/>
      <c r="N67" s="1368"/>
      <c r="O67" s="1431"/>
      <c r="P67" s="1515"/>
      <c r="Q67" s="1515"/>
      <c r="R67" s="1515"/>
    </row>
    <row r="68" spans="1:18">
      <c r="A68" s="1430"/>
      <c r="B68" s="1430"/>
      <c r="C68" s="1493"/>
      <c r="D68" s="1430"/>
      <c r="E68" s="1289"/>
      <c r="F68" s="1511"/>
      <c r="G68" s="1511"/>
      <c r="H68" s="1511"/>
      <c r="I68" s="1511"/>
      <c r="J68" s="1512"/>
      <c r="K68" s="1368"/>
      <c r="L68" s="1368"/>
      <c r="M68" s="1368"/>
      <c r="N68" s="1368"/>
      <c r="O68" s="1431"/>
      <c r="P68" s="1515"/>
      <c r="Q68" s="1515"/>
      <c r="R68" s="1515"/>
    </row>
    <row r="69" spans="1:18">
      <c r="A69" s="1430"/>
      <c r="B69" s="1430"/>
      <c r="C69" s="1493"/>
      <c r="D69" s="1430"/>
      <c r="E69" s="1289"/>
      <c r="F69" s="1511"/>
      <c r="G69" s="1511"/>
      <c r="H69" s="1511"/>
      <c r="I69" s="1511"/>
      <c r="J69" s="1512"/>
      <c r="K69" s="1368"/>
      <c r="L69" s="1368"/>
      <c r="M69" s="1368"/>
      <c r="N69" s="1368"/>
      <c r="O69" s="1431"/>
      <c r="P69" s="1515"/>
      <c r="Q69" s="1515"/>
      <c r="R69" s="1515"/>
    </row>
    <row r="70" spans="1:18">
      <c r="A70" s="1430"/>
      <c r="B70" s="1430"/>
      <c r="C70" s="1493"/>
      <c r="D70" s="1430"/>
      <c r="E70" s="1289"/>
      <c r="F70" s="1511"/>
      <c r="G70" s="1511"/>
      <c r="H70" s="1511"/>
      <c r="I70" s="1511"/>
      <c r="J70" s="1512"/>
      <c r="K70" s="1368"/>
      <c r="L70" s="1368"/>
      <c r="M70" s="1368"/>
      <c r="N70" s="1368"/>
      <c r="O70" s="1431"/>
      <c r="P70" s="1515"/>
      <c r="Q70" s="1515"/>
      <c r="R70" s="1515"/>
    </row>
    <row r="71" spans="1:18">
      <c r="A71" s="1430"/>
      <c r="B71" s="1430"/>
      <c r="C71" s="1493"/>
      <c r="D71" s="1430"/>
      <c r="E71" s="1289"/>
      <c r="F71" s="1511"/>
      <c r="G71" s="1511"/>
      <c r="H71" s="1511"/>
      <c r="I71" s="1511"/>
      <c r="J71" s="1512"/>
      <c r="K71" s="1368"/>
      <c r="L71" s="1368"/>
      <c r="M71" s="1368"/>
      <c r="N71" s="1368"/>
      <c r="O71" s="1431"/>
      <c r="P71" s="1515"/>
      <c r="Q71" s="1515"/>
      <c r="R71" s="1515"/>
    </row>
    <row r="72" spans="1:18">
      <c r="A72" s="1430"/>
      <c r="B72" s="1430"/>
      <c r="C72" s="1493"/>
      <c r="D72" s="1430"/>
      <c r="E72" s="1289"/>
      <c r="F72" s="1511"/>
      <c r="G72" s="1511"/>
      <c r="H72" s="1511"/>
      <c r="I72" s="1511"/>
      <c r="J72" s="1512"/>
      <c r="K72" s="1368"/>
      <c r="L72" s="1368"/>
      <c r="M72" s="1368"/>
      <c r="N72" s="1368"/>
      <c r="O72" s="1431"/>
      <c r="P72" s="1515"/>
      <c r="Q72" s="1515"/>
      <c r="R72" s="1515"/>
    </row>
    <row r="73" spans="1:18">
      <c r="A73" s="1430"/>
      <c r="B73" s="1430"/>
      <c r="C73" s="1493"/>
      <c r="D73" s="1430"/>
      <c r="E73" s="1289"/>
      <c r="F73" s="1511"/>
      <c r="G73" s="1511"/>
      <c r="H73" s="1511"/>
      <c r="I73" s="1511"/>
      <c r="J73" s="1512"/>
      <c r="K73" s="1368"/>
      <c r="L73" s="1368"/>
      <c r="M73" s="1368"/>
      <c r="N73" s="1368"/>
      <c r="O73" s="1431"/>
      <c r="P73" s="1515"/>
      <c r="Q73" s="1515"/>
      <c r="R73" s="1515"/>
    </row>
    <row r="74" spans="1:18">
      <c r="A74" s="1430"/>
      <c r="B74" s="1430"/>
      <c r="C74" s="1493"/>
      <c r="D74" s="1430"/>
      <c r="E74" s="1289"/>
      <c r="F74" s="1511"/>
      <c r="G74" s="1511"/>
      <c r="H74" s="1511"/>
      <c r="I74" s="1511"/>
      <c r="J74" s="1512"/>
      <c r="K74" s="1368"/>
      <c r="L74" s="1368"/>
      <c r="M74" s="1368"/>
      <c r="N74" s="1368"/>
      <c r="O74" s="1431"/>
      <c r="P74" s="1515"/>
      <c r="Q74" s="1515"/>
      <c r="R74" s="1515"/>
    </row>
    <row r="75" spans="1:18">
      <c r="A75" s="1430"/>
      <c r="B75" s="1430"/>
      <c r="C75" s="1493"/>
      <c r="D75" s="1430"/>
      <c r="E75" s="1289"/>
      <c r="F75" s="1511"/>
      <c r="G75" s="1511"/>
      <c r="H75" s="1511"/>
      <c r="I75" s="1511"/>
      <c r="J75" s="1512"/>
      <c r="K75" s="1368"/>
      <c r="L75" s="1368"/>
      <c r="M75" s="1368"/>
      <c r="N75" s="1368"/>
      <c r="O75" s="1431"/>
      <c r="P75" s="1515"/>
      <c r="Q75" s="1515"/>
      <c r="R75" s="1515"/>
    </row>
    <row r="76" spans="1:18">
      <c r="A76" s="1430"/>
      <c r="B76" s="1430"/>
      <c r="C76" s="1493"/>
      <c r="D76" s="1430"/>
      <c r="E76" s="1289"/>
      <c r="F76" s="1511"/>
      <c r="G76" s="1511"/>
      <c r="H76" s="1511"/>
      <c r="I76" s="1511"/>
      <c r="J76" s="1512"/>
      <c r="K76" s="1368"/>
      <c r="L76" s="1368"/>
      <c r="M76" s="1368"/>
      <c r="N76" s="1368"/>
      <c r="O76" s="1431"/>
      <c r="P76" s="1515"/>
      <c r="Q76" s="1515"/>
      <c r="R76" s="1515"/>
    </row>
    <row r="77" spans="1:18">
      <c r="A77" s="1430"/>
      <c r="B77" s="1430"/>
      <c r="C77" s="1493"/>
      <c r="D77" s="1430"/>
      <c r="E77" s="1289"/>
      <c r="F77" s="1511"/>
      <c r="G77" s="1511"/>
      <c r="H77" s="1511"/>
      <c r="I77" s="1511"/>
      <c r="J77" s="1512"/>
      <c r="K77" s="1368"/>
      <c r="L77" s="1368"/>
      <c r="M77" s="1368"/>
      <c r="N77" s="1368"/>
      <c r="O77" s="1431"/>
      <c r="P77" s="1515"/>
      <c r="Q77" s="1515"/>
      <c r="R77" s="1515"/>
    </row>
    <row r="78" spans="1:18">
      <c r="A78" s="1430"/>
      <c r="B78" s="1430"/>
      <c r="C78" s="1493"/>
      <c r="D78" s="1430"/>
      <c r="E78" s="1289"/>
      <c r="F78" s="1511"/>
      <c r="G78" s="1511"/>
      <c r="H78" s="1511"/>
      <c r="I78" s="1511"/>
      <c r="J78" s="1512"/>
      <c r="K78" s="1368"/>
      <c r="L78" s="1368"/>
      <c r="M78" s="1368"/>
      <c r="N78" s="1368"/>
      <c r="O78" s="1431"/>
      <c r="P78" s="1515"/>
      <c r="Q78" s="1515"/>
      <c r="R78" s="1515"/>
    </row>
    <row r="79" spans="1:18">
      <c r="A79" s="1430"/>
      <c r="B79" s="1430"/>
      <c r="D79" s="1430"/>
      <c r="E79" s="1289"/>
      <c r="F79" s="1511"/>
      <c r="G79" s="1511"/>
      <c r="H79" s="1511"/>
      <c r="I79" s="1511"/>
      <c r="J79" s="1512"/>
      <c r="K79" s="1512"/>
      <c r="L79" s="1507"/>
      <c r="M79" s="1507"/>
      <c r="N79" s="1512"/>
      <c r="O79" s="1509"/>
      <c r="P79" s="1515"/>
      <c r="Q79" s="1515"/>
      <c r="R79" s="1515"/>
    </row>
    <row r="80" spans="1:18">
      <c r="F80" s="1516"/>
      <c r="G80" s="1516"/>
      <c r="H80" s="1516"/>
      <c r="I80" s="1516"/>
      <c r="J80" s="1516"/>
      <c r="K80" s="1516"/>
      <c r="L80" s="1516"/>
      <c r="M80" s="1516"/>
      <c r="N80" s="1516"/>
      <c r="O80" s="1516"/>
      <c r="P80" s="1516"/>
      <c r="Q80" s="1516"/>
      <c r="R80" s="1516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45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H42" sqref="H42"/>
    </sheetView>
  </sheetViews>
  <sheetFormatPr defaultColWidth="9.140625" defaultRowHeight="12.75"/>
  <cols>
    <col min="1" max="1" width="5.140625" style="854" customWidth="1"/>
    <col min="2" max="2" width="7.7109375" style="854" customWidth="1"/>
    <col min="3" max="3" width="8.7109375" style="889" customWidth="1"/>
    <col min="4" max="4" width="9.7109375" style="889" customWidth="1"/>
    <col min="5" max="5" width="9.140625" style="889" customWidth="1"/>
    <col min="6" max="6" width="8.42578125" style="889" customWidth="1"/>
    <col min="7" max="7" width="10.140625" style="889" customWidth="1"/>
    <col min="8" max="8" width="9.140625" style="854"/>
    <col min="9" max="9" width="11.7109375" style="854" bestFit="1" customWidth="1"/>
    <col min="10" max="10" width="10.42578125" style="854" bestFit="1" customWidth="1"/>
    <col min="11" max="11" width="11.5703125" style="854" bestFit="1" customWidth="1"/>
    <col min="12" max="14" width="9.42578125" style="854" bestFit="1" customWidth="1"/>
    <col min="15" max="16384" width="9.140625" style="854"/>
  </cols>
  <sheetData>
    <row r="1" spans="1:21">
      <c r="A1" s="2360" t="s">
        <v>1721</v>
      </c>
      <c r="B1" s="2360"/>
      <c r="C1" s="2360"/>
      <c r="D1" s="2360"/>
      <c r="E1" s="2360"/>
      <c r="F1" s="2360"/>
      <c r="G1" s="2360"/>
      <c r="H1" s="2360"/>
      <c r="I1" s="888" t="s">
        <v>1722</v>
      </c>
    </row>
    <row r="2" spans="1:21">
      <c r="A2" s="8"/>
      <c r="B2" s="8"/>
      <c r="C2" s="28"/>
      <c r="D2" s="28"/>
      <c r="E2" s="28"/>
      <c r="F2" s="28"/>
      <c r="H2" s="28" t="s">
        <v>675</v>
      </c>
      <c r="I2" s="1" t="s">
        <v>1742</v>
      </c>
      <c r="J2" s="4"/>
    </row>
    <row r="3" spans="1:21" ht="33.75" customHeight="1">
      <c r="A3" s="2365" t="s">
        <v>21</v>
      </c>
      <c r="B3" s="2366"/>
      <c r="C3" s="1359" t="s">
        <v>1708</v>
      </c>
      <c r="D3" s="890" t="s">
        <v>1600</v>
      </c>
      <c r="E3" s="891" t="s">
        <v>2174</v>
      </c>
      <c r="F3" s="891" t="s">
        <v>2175</v>
      </c>
      <c r="G3" s="891" t="s">
        <v>1612</v>
      </c>
      <c r="H3" s="1655" t="s">
        <v>1692</v>
      </c>
      <c r="I3" s="891" t="s">
        <v>1613</v>
      </c>
    </row>
    <row r="4" spans="1:21" ht="12.75" customHeight="1">
      <c r="A4" s="2361" t="s">
        <v>2160</v>
      </c>
      <c r="B4" s="2361"/>
      <c r="C4" s="1152">
        <f>SUM(C5:C32)</f>
        <v>196750.72000000006</v>
      </c>
      <c r="D4" s="1152">
        <f t="shared" ref="D4:H4" si="0">SUM(D5:D32)</f>
        <v>1411576.8999999997</v>
      </c>
      <c r="E4" s="1152">
        <f t="shared" si="0"/>
        <v>55259.651000000013</v>
      </c>
      <c r="F4" s="1153">
        <f t="shared" si="0"/>
        <v>94477.387999999992</v>
      </c>
      <c r="G4" s="1152">
        <f t="shared" si="0"/>
        <v>3213.2</v>
      </c>
      <c r="H4" s="1152">
        <f t="shared" si="0"/>
        <v>15615.483329800003</v>
      </c>
      <c r="I4" s="1154">
        <f>SUM(I5:I32)</f>
        <v>1.714418</v>
      </c>
      <c r="J4" s="1654"/>
      <c r="K4" s="1654"/>
      <c r="L4" s="1654"/>
      <c r="M4" s="1654"/>
      <c r="N4" s="1654"/>
      <c r="O4" s="892"/>
      <c r="P4" s="892"/>
      <c r="Q4" s="892"/>
      <c r="R4" s="892"/>
      <c r="S4" s="892"/>
    </row>
    <row r="5" spans="1:21" ht="12.75" customHeight="1">
      <c r="A5" s="2362" t="s">
        <v>1308</v>
      </c>
      <c r="B5" s="893" t="s">
        <v>1601</v>
      </c>
      <c r="C5" s="1155">
        <v>81.06</v>
      </c>
      <c r="D5" s="1155">
        <v>67.599999999999994</v>
      </c>
      <c r="E5" s="1155">
        <v>26.713000000000001</v>
      </c>
      <c r="F5" s="1156">
        <v>0.67</v>
      </c>
      <c r="G5" s="1157">
        <v>17.8</v>
      </c>
      <c r="H5" s="810">
        <v>0</v>
      </c>
      <c r="I5" s="810">
        <v>0</v>
      </c>
      <c r="O5" s="892"/>
      <c r="P5" s="892"/>
      <c r="Q5" s="892"/>
      <c r="R5" s="892"/>
      <c r="S5" s="892"/>
      <c r="T5" s="892"/>
      <c r="U5" s="892"/>
    </row>
    <row r="6" spans="1:21" ht="12.75" customHeight="1">
      <c r="A6" s="2363"/>
      <c r="B6" s="894" t="s">
        <v>1602</v>
      </c>
      <c r="C6" s="1158">
        <v>217.48</v>
      </c>
      <c r="D6" s="1158">
        <v>940.4</v>
      </c>
      <c r="E6" s="1158">
        <v>16.210999999999999</v>
      </c>
      <c r="F6" s="1159">
        <v>433.46800000000002</v>
      </c>
      <c r="G6" s="1160">
        <v>29.7</v>
      </c>
      <c r="H6" s="811">
        <v>0</v>
      </c>
      <c r="I6" s="811">
        <v>0</v>
      </c>
      <c r="O6" s="892"/>
      <c r="P6" s="892"/>
      <c r="Q6" s="892"/>
      <c r="R6" s="892"/>
      <c r="S6" s="892"/>
    </row>
    <row r="7" spans="1:21" ht="12.75" customHeight="1">
      <c r="A7" s="2363"/>
      <c r="B7" s="895" t="s">
        <v>1603</v>
      </c>
      <c r="C7" s="1151">
        <v>42380.41</v>
      </c>
      <c r="D7" s="1151">
        <v>269156.59999999998</v>
      </c>
      <c r="E7" s="1151">
        <v>9896.4650000000001</v>
      </c>
      <c r="F7" s="1151">
        <v>16479.178</v>
      </c>
      <c r="G7" s="1156">
        <v>172.6</v>
      </c>
      <c r="H7" s="863">
        <v>1620.1800519999999</v>
      </c>
      <c r="I7" s="863">
        <v>0</v>
      </c>
      <c r="O7" s="892"/>
      <c r="P7" s="892"/>
      <c r="Q7" s="892"/>
      <c r="R7" s="892"/>
      <c r="S7" s="892"/>
    </row>
    <row r="8" spans="1:21" ht="12.75" customHeight="1">
      <c r="A8" s="2363"/>
      <c r="B8" s="894" t="s">
        <v>1604</v>
      </c>
      <c r="C8" s="1158">
        <v>174.28</v>
      </c>
      <c r="D8" s="1158">
        <v>62.7</v>
      </c>
      <c r="E8" s="1158">
        <v>8.8879999999999999</v>
      </c>
      <c r="F8" s="1158">
        <v>70.953999999999994</v>
      </c>
      <c r="G8" s="1159">
        <v>466.6</v>
      </c>
      <c r="H8" s="811">
        <v>-15.300756</v>
      </c>
      <c r="I8" s="811">
        <v>0</v>
      </c>
      <c r="O8" s="892"/>
      <c r="P8" s="892"/>
      <c r="Q8" s="892"/>
      <c r="R8" s="892"/>
      <c r="S8" s="892"/>
    </row>
    <row r="9" spans="1:21" ht="12.75" customHeight="1">
      <c r="A9" s="2363"/>
      <c r="B9" s="895" t="s">
        <v>1605</v>
      </c>
      <c r="C9" s="1151">
        <v>3807.34</v>
      </c>
      <c r="D9" s="1151">
        <v>127.8</v>
      </c>
      <c r="E9" s="1151">
        <v>140.94300000000001</v>
      </c>
      <c r="F9" s="1151">
        <v>28.341000000000001</v>
      </c>
      <c r="G9" s="1161">
        <v>13.6</v>
      </c>
      <c r="H9" s="810">
        <v>-14.450714000000001</v>
      </c>
      <c r="I9" s="810">
        <v>0</v>
      </c>
      <c r="O9" s="892"/>
      <c r="P9" s="892"/>
      <c r="Q9" s="892"/>
      <c r="R9" s="892"/>
      <c r="S9" s="892"/>
    </row>
    <row r="10" spans="1:21" ht="12.75" customHeight="1">
      <c r="A10" s="2363"/>
      <c r="B10" s="894" t="s">
        <v>1606</v>
      </c>
      <c r="C10" s="1158">
        <v>2015.4</v>
      </c>
      <c r="D10" s="1158">
        <v>16384.3</v>
      </c>
      <c r="E10" s="1158">
        <v>44.988999999999997</v>
      </c>
      <c r="F10" s="1158">
        <v>539.85400000000004</v>
      </c>
      <c r="G10" s="1159">
        <v>9.4</v>
      </c>
      <c r="H10" s="811">
        <v>182.75903</v>
      </c>
      <c r="I10" s="811">
        <v>0</v>
      </c>
      <c r="O10" s="892"/>
      <c r="P10" s="892"/>
      <c r="Q10" s="892"/>
      <c r="R10" s="892"/>
      <c r="S10" s="892"/>
    </row>
    <row r="11" spans="1:21" ht="12.75" customHeight="1">
      <c r="A11" s="2364"/>
      <c r="B11" s="895" t="s">
        <v>1607</v>
      </c>
      <c r="C11" s="1151">
        <v>1180.68</v>
      </c>
      <c r="D11" s="1151">
        <v>2171.8000000000002</v>
      </c>
      <c r="E11" s="1151">
        <v>1742.787</v>
      </c>
      <c r="F11" s="1151">
        <v>1765.087</v>
      </c>
      <c r="G11" s="1161">
        <v>23.8</v>
      </c>
      <c r="H11" s="810">
        <v>495.57448599999998</v>
      </c>
      <c r="I11" s="810">
        <v>0</v>
      </c>
      <c r="O11" s="892"/>
      <c r="P11" s="892"/>
      <c r="Q11" s="892"/>
      <c r="R11" s="892"/>
      <c r="S11" s="892"/>
    </row>
    <row r="12" spans="1:21" ht="12.75" customHeight="1">
      <c r="A12" s="2358" t="s">
        <v>1440</v>
      </c>
      <c r="B12" s="896" t="s">
        <v>1601</v>
      </c>
      <c r="C12" s="1158">
        <v>22.17</v>
      </c>
      <c r="D12" s="1158">
        <v>207</v>
      </c>
      <c r="E12" s="1158">
        <v>2.726</v>
      </c>
      <c r="F12" s="1158">
        <v>0.90500000000000003</v>
      </c>
      <c r="G12" s="1159">
        <v>12</v>
      </c>
      <c r="H12" s="811">
        <v>0</v>
      </c>
      <c r="I12" s="811">
        <v>0</v>
      </c>
      <c r="O12" s="892"/>
      <c r="P12" s="892"/>
      <c r="Q12" s="892"/>
      <c r="R12" s="892"/>
      <c r="S12" s="892"/>
    </row>
    <row r="13" spans="1:21" s="857" customFormat="1" ht="12.75" customHeight="1">
      <c r="A13" s="2358" t="s">
        <v>1440</v>
      </c>
      <c r="B13" s="897" t="s">
        <v>1602</v>
      </c>
      <c r="C13" s="1162">
        <v>208.87</v>
      </c>
      <c r="D13" s="1162">
        <v>1358.9</v>
      </c>
      <c r="E13" s="1162">
        <v>14.122</v>
      </c>
      <c r="F13" s="1162">
        <v>432.54599999999999</v>
      </c>
      <c r="G13" s="1163">
        <v>32.6</v>
      </c>
      <c r="H13" s="849">
        <v>0</v>
      </c>
      <c r="I13" s="849">
        <v>0</v>
      </c>
      <c r="O13" s="898"/>
      <c r="P13" s="898"/>
      <c r="Q13" s="898"/>
      <c r="R13" s="898"/>
      <c r="S13" s="898"/>
    </row>
    <row r="14" spans="1:21" ht="12.75" customHeight="1">
      <c r="A14" s="2358" t="s">
        <v>1440</v>
      </c>
      <c r="B14" s="896" t="s">
        <v>1603</v>
      </c>
      <c r="C14" s="1158">
        <v>48210.3</v>
      </c>
      <c r="D14" s="1158">
        <v>327522</v>
      </c>
      <c r="E14" s="1158">
        <v>10602.415000000001</v>
      </c>
      <c r="F14" s="1158">
        <v>19962.973000000002</v>
      </c>
      <c r="G14" s="1159">
        <v>235</v>
      </c>
      <c r="H14" s="811">
        <v>2045.3006740000001</v>
      </c>
      <c r="I14" s="811">
        <v>0</v>
      </c>
      <c r="O14" s="892"/>
      <c r="P14" s="892"/>
      <c r="Q14" s="892"/>
      <c r="R14" s="892"/>
      <c r="S14" s="892"/>
    </row>
    <row r="15" spans="1:21" s="857" customFormat="1" ht="12.75" customHeight="1">
      <c r="A15" s="2358" t="s">
        <v>1440</v>
      </c>
      <c r="B15" s="897" t="s">
        <v>1604</v>
      </c>
      <c r="C15" s="1162">
        <v>77.989999999999995</v>
      </c>
      <c r="D15" s="1162">
        <v>187.2</v>
      </c>
      <c r="E15" s="1162">
        <v>23.317</v>
      </c>
      <c r="F15" s="1162">
        <v>76.709000000000003</v>
      </c>
      <c r="G15" s="1163">
        <v>335.2</v>
      </c>
      <c r="H15" s="849">
        <v>-5.1432539999999998</v>
      </c>
      <c r="I15" s="849">
        <v>0</v>
      </c>
      <c r="O15" s="898"/>
      <c r="P15" s="898"/>
      <c r="Q15" s="898"/>
      <c r="R15" s="898"/>
      <c r="S15" s="898"/>
    </row>
    <row r="16" spans="1:21" ht="12.75" customHeight="1">
      <c r="A16" s="2358" t="s">
        <v>1440</v>
      </c>
      <c r="B16" s="896" t="s">
        <v>1605</v>
      </c>
      <c r="C16" s="1158">
        <v>2251.13</v>
      </c>
      <c r="D16" s="1158">
        <v>144.80000000000001</v>
      </c>
      <c r="E16" s="1158">
        <v>194.56399999999999</v>
      </c>
      <c r="F16" s="1158">
        <v>96.262</v>
      </c>
      <c r="G16" s="1159">
        <v>19.7</v>
      </c>
      <c r="H16" s="811">
        <v>-18.858598000000001</v>
      </c>
      <c r="I16" s="811">
        <v>0</v>
      </c>
      <c r="O16" s="892"/>
      <c r="P16" s="892"/>
      <c r="Q16" s="892"/>
      <c r="R16" s="892"/>
      <c r="S16" s="892"/>
    </row>
    <row r="17" spans="1:19" s="857" customFormat="1" ht="12.75" customHeight="1">
      <c r="A17" s="2358" t="s">
        <v>1440</v>
      </c>
      <c r="B17" s="897" t="s">
        <v>1606</v>
      </c>
      <c r="C17" s="1162">
        <v>2847.1</v>
      </c>
      <c r="D17" s="1162">
        <v>22556.2</v>
      </c>
      <c r="E17" s="1162">
        <v>58.804000000000002</v>
      </c>
      <c r="F17" s="1162">
        <v>791.66399999999999</v>
      </c>
      <c r="G17" s="1163">
        <v>7.7</v>
      </c>
      <c r="H17" s="849">
        <v>228.017594</v>
      </c>
      <c r="I17" s="849">
        <v>1.714418</v>
      </c>
      <c r="O17" s="898"/>
      <c r="P17" s="898"/>
      <c r="Q17" s="898"/>
      <c r="R17" s="898"/>
      <c r="S17" s="898"/>
    </row>
    <row r="18" spans="1:19" ht="12.75" customHeight="1">
      <c r="A18" s="2358" t="s">
        <v>1440</v>
      </c>
      <c r="B18" s="896" t="s">
        <v>1607</v>
      </c>
      <c r="C18" s="1158">
        <v>1267.43</v>
      </c>
      <c r="D18" s="1158">
        <v>2605.6999999999998</v>
      </c>
      <c r="E18" s="1158">
        <v>1844.5550000000001</v>
      </c>
      <c r="F18" s="1158">
        <v>1514.789</v>
      </c>
      <c r="G18" s="1159">
        <v>35.1</v>
      </c>
      <c r="H18" s="811">
        <v>7353.9960110000002</v>
      </c>
      <c r="I18" s="811">
        <v>0</v>
      </c>
      <c r="O18" s="892"/>
      <c r="P18" s="892"/>
      <c r="Q18" s="892"/>
      <c r="R18" s="892"/>
      <c r="S18" s="892"/>
    </row>
    <row r="19" spans="1:19" s="857" customFormat="1" ht="12.75" customHeight="1">
      <c r="A19" s="2358" t="s">
        <v>1306</v>
      </c>
      <c r="B19" s="897" t="s">
        <v>1601</v>
      </c>
      <c r="C19" s="1162">
        <v>126.74</v>
      </c>
      <c r="D19" s="1162">
        <v>557.20000000000005</v>
      </c>
      <c r="E19" s="1162">
        <v>3.9630000000000001</v>
      </c>
      <c r="F19" s="1162">
        <v>2.117</v>
      </c>
      <c r="G19" s="1163">
        <v>4.3</v>
      </c>
      <c r="H19" s="849">
        <v>0</v>
      </c>
      <c r="I19" s="849">
        <v>0</v>
      </c>
      <c r="O19" s="898"/>
      <c r="P19" s="898"/>
      <c r="Q19" s="898"/>
      <c r="R19" s="898"/>
      <c r="S19" s="898"/>
    </row>
    <row r="20" spans="1:19" ht="12.75" customHeight="1">
      <c r="A20" s="2358" t="s">
        <v>1306</v>
      </c>
      <c r="B20" s="896" t="s">
        <v>1602</v>
      </c>
      <c r="C20" s="1158">
        <v>159.55000000000001</v>
      </c>
      <c r="D20" s="1158">
        <v>1440.1</v>
      </c>
      <c r="E20" s="1158">
        <v>7.6920000000000002</v>
      </c>
      <c r="F20" s="1158">
        <v>392.745</v>
      </c>
      <c r="G20" s="1159">
        <v>13.8</v>
      </c>
      <c r="H20" s="811">
        <v>0</v>
      </c>
      <c r="I20" s="811">
        <v>0</v>
      </c>
      <c r="O20" s="892"/>
      <c r="P20" s="892"/>
      <c r="Q20" s="892"/>
      <c r="R20" s="892"/>
      <c r="S20" s="892"/>
    </row>
    <row r="21" spans="1:19" s="857" customFormat="1" ht="12.75" customHeight="1">
      <c r="A21" s="2358" t="s">
        <v>1306</v>
      </c>
      <c r="B21" s="897" t="s">
        <v>1603</v>
      </c>
      <c r="C21" s="1162">
        <v>40423.379999999997</v>
      </c>
      <c r="D21" s="1162">
        <v>386766.9</v>
      </c>
      <c r="E21" s="1162">
        <v>12984.97</v>
      </c>
      <c r="F21" s="1162">
        <v>21196.638999999999</v>
      </c>
      <c r="G21" s="1163">
        <v>292.39999999999998</v>
      </c>
      <c r="H21" s="849">
        <v>1380.38346</v>
      </c>
      <c r="I21" s="849">
        <v>0</v>
      </c>
      <c r="O21" s="898"/>
      <c r="P21" s="898"/>
      <c r="Q21" s="898"/>
      <c r="R21" s="898"/>
      <c r="S21" s="898"/>
    </row>
    <row r="22" spans="1:19" ht="12.75" customHeight="1">
      <c r="A22" s="2358" t="s">
        <v>1306</v>
      </c>
      <c r="B22" s="896" t="s">
        <v>1604</v>
      </c>
      <c r="C22" s="1158">
        <v>130.47999999999999</v>
      </c>
      <c r="D22" s="1158">
        <v>73.099999999999994</v>
      </c>
      <c r="E22" s="1158">
        <v>46.281999999999996</v>
      </c>
      <c r="F22" s="1158">
        <v>57.216000000000001</v>
      </c>
      <c r="G22" s="1159">
        <v>395.6</v>
      </c>
      <c r="H22" s="811">
        <v>0</v>
      </c>
      <c r="I22" s="811">
        <v>0</v>
      </c>
      <c r="O22" s="892"/>
      <c r="P22" s="892"/>
      <c r="Q22" s="892"/>
      <c r="R22" s="892"/>
      <c r="S22" s="892"/>
    </row>
    <row r="23" spans="1:19" s="857" customFormat="1" ht="12.75" customHeight="1">
      <c r="A23" s="2358" t="s">
        <v>1306</v>
      </c>
      <c r="B23" s="897" t="s">
        <v>1605</v>
      </c>
      <c r="C23" s="1162">
        <v>1585.77</v>
      </c>
      <c r="D23" s="1162">
        <v>129.80000000000001</v>
      </c>
      <c r="E23" s="1162">
        <v>179.678</v>
      </c>
      <c r="F23" s="1162">
        <v>295.05200000000002</v>
      </c>
      <c r="G23" s="1163">
        <v>10.3</v>
      </c>
      <c r="H23" s="849">
        <v>16.340987999999999</v>
      </c>
      <c r="I23" s="849">
        <v>0</v>
      </c>
      <c r="O23" s="898"/>
      <c r="P23" s="898"/>
      <c r="Q23" s="898"/>
      <c r="R23" s="898"/>
      <c r="S23" s="898"/>
    </row>
    <row r="24" spans="1:19" ht="12.75" customHeight="1">
      <c r="A24" s="2358" t="s">
        <v>1306</v>
      </c>
      <c r="B24" s="896" t="s">
        <v>1606</v>
      </c>
      <c r="C24" s="1158">
        <v>1946.7</v>
      </c>
      <c r="D24" s="1158">
        <v>22679.200000000001</v>
      </c>
      <c r="E24" s="1158">
        <v>56.783999999999999</v>
      </c>
      <c r="F24" s="1158">
        <v>989.43100000000004</v>
      </c>
      <c r="G24" s="1159">
        <v>20.6</v>
      </c>
      <c r="H24" s="811">
        <v>372.40251599999999</v>
      </c>
      <c r="I24" s="811">
        <v>0</v>
      </c>
      <c r="O24" s="892"/>
      <c r="P24" s="892"/>
      <c r="Q24" s="892"/>
      <c r="R24" s="892"/>
      <c r="S24" s="892"/>
    </row>
    <row r="25" spans="1:19" s="857" customFormat="1" ht="12.75" customHeight="1">
      <c r="A25" s="2358" t="s">
        <v>1306</v>
      </c>
      <c r="B25" s="897" t="s">
        <v>1607</v>
      </c>
      <c r="C25" s="1162">
        <v>1450.25</v>
      </c>
      <c r="D25" s="1162">
        <v>3098.2</v>
      </c>
      <c r="E25" s="1162">
        <v>1706.41</v>
      </c>
      <c r="F25" s="1162">
        <v>2346.413</v>
      </c>
      <c r="G25" s="1163">
        <v>16.3</v>
      </c>
      <c r="H25" s="849">
        <v>-2840.7517560000001</v>
      </c>
      <c r="I25" s="849">
        <v>0</v>
      </c>
      <c r="O25" s="898"/>
      <c r="P25" s="898"/>
      <c r="Q25" s="898"/>
      <c r="R25" s="898"/>
      <c r="S25" s="898"/>
    </row>
    <row r="26" spans="1:19" ht="12.75" customHeight="1">
      <c r="A26" s="2358" t="s">
        <v>1307</v>
      </c>
      <c r="B26" s="896" t="s">
        <v>1601</v>
      </c>
      <c r="C26" s="1158">
        <v>216.29</v>
      </c>
      <c r="D26" s="1158">
        <v>359.9</v>
      </c>
      <c r="E26" s="1158">
        <v>9.0060000000000002</v>
      </c>
      <c r="F26" s="1158">
        <v>1.833</v>
      </c>
      <c r="G26" s="1159">
        <v>18</v>
      </c>
      <c r="H26" s="811">
        <v>0</v>
      </c>
      <c r="I26" s="811">
        <v>0</v>
      </c>
      <c r="O26" s="892"/>
      <c r="P26" s="892"/>
      <c r="Q26" s="892"/>
      <c r="R26" s="892"/>
      <c r="S26" s="892"/>
    </row>
    <row r="27" spans="1:19" s="857" customFormat="1" ht="12.75" customHeight="1">
      <c r="A27" s="2358" t="s">
        <v>1608</v>
      </c>
      <c r="B27" s="897" t="s">
        <v>1602</v>
      </c>
      <c r="C27" s="1162">
        <v>239.46</v>
      </c>
      <c r="D27" s="1162">
        <v>1231.5</v>
      </c>
      <c r="E27" s="1162">
        <v>14.302</v>
      </c>
      <c r="F27" s="1162">
        <v>495.08800000000002</v>
      </c>
      <c r="G27" s="1163">
        <v>23.9</v>
      </c>
      <c r="H27" s="849">
        <v>0</v>
      </c>
      <c r="I27" s="849">
        <v>0</v>
      </c>
      <c r="O27" s="898"/>
      <c r="P27" s="898"/>
      <c r="Q27" s="898"/>
      <c r="R27" s="898"/>
      <c r="S27" s="898"/>
    </row>
    <row r="28" spans="1:19" ht="12.75" customHeight="1">
      <c r="A28" s="2358" t="s">
        <v>1608</v>
      </c>
      <c r="B28" s="896" t="s">
        <v>1603</v>
      </c>
      <c r="C28" s="1158">
        <v>40756.1</v>
      </c>
      <c r="D28" s="1158">
        <v>326287</v>
      </c>
      <c r="E28" s="1158">
        <v>13236.558999999999</v>
      </c>
      <c r="F28" s="1158">
        <v>22687.867999999999</v>
      </c>
      <c r="G28" s="1159">
        <v>265.3</v>
      </c>
      <c r="H28" s="811">
        <v>4236.1674254199997</v>
      </c>
      <c r="I28" s="811">
        <v>0</v>
      </c>
      <c r="O28" s="892"/>
      <c r="P28" s="892"/>
      <c r="Q28" s="892"/>
      <c r="R28" s="892"/>
      <c r="S28" s="892"/>
    </row>
    <row r="29" spans="1:19" s="857" customFormat="1" ht="12.75" customHeight="1">
      <c r="A29" s="2358" t="s">
        <v>1608</v>
      </c>
      <c r="B29" s="897" t="s">
        <v>1604</v>
      </c>
      <c r="C29" s="1162">
        <v>120.38</v>
      </c>
      <c r="D29" s="1162">
        <v>62.8</v>
      </c>
      <c r="E29" s="1162">
        <v>80.408000000000001</v>
      </c>
      <c r="F29" s="1162">
        <v>69.894000000000005</v>
      </c>
      <c r="G29" s="1163">
        <v>671.2</v>
      </c>
      <c r="H29" s="849">
        <v>0</v>
      </c>
      <c r="I29" s="849">
        <v>0</v>
      </c>
      <c r="O29" s="898"/>
      <c r="P29" s="898"/>
      <c r="Q29" s="898"/>
      <c r="R29" s="898"/>
      <c r="S29" s="898"/>
    </row>
    <row r="30" spans="1:19" ht="12.75" customHeight="1">
      <c r="A30" s="2358" t="s">
        <v>1608</v>
      </c>
      <c r="B30" s="896" t="s">
        <v>1605</v>
      </c>
      <c r="C30" s="1158">
        <v>1417.53</v>
      </c>
      <c r="D30" s="1158">
        <v>149.9</v>
      </c>
      <c r="E30" s="1158">
        <v>195.34700000000001</v>
      </c>
      <c r="F30" s="1158">
        <v>632.19299999999998</v>
      </c>
      <c r="G30" s="1159">
        <v>10.6</v>
      </c>
      <c r="H30" s="811">
        <v>4.42558235</v>
      </c>
      <c r="I30" s="811">
        <v>0</v>
      </c>
      <c r="O30" s="892"/>
      <c r="P30" s="892"/>
      <c r="Q30" s="892"/>
      <c r="R30" s="892"/>
      <c r="S30" s="892"/>
    </row>
    <row r="31" spans="1:19" s="857" customFormat="1" ht="12.75" customHeight="1">
      <c r="A31" s="2358" t="s">
        <v>1608</v>
      </c>
      <c r="B31" s="897" t="s">
        <v>1606</v>
      </c>
      <c r="C31" s="1162">
        <v>2321.94</v>
      </c>
      <c r="D31" s="1162">
        <v>21318.5</v>
      </c>
      <c r="E31" s="1162">
        <v>87.68</v>
      </c>
      <c r="F31" s="1162">
        <v>825.47199999999998</v>
      </c>
      <c r="G31" s="1163">
        <v>20.2</v>
      </c>
      <c r="H31" s="849">
        <v>200.92143869</v>
      </c>
      <c r="I31" s="849">
        <v>0</v>
      </c>
      <c r="L31" s="1174"/>
      <c r="N31" s="1175"/>
      <c r="O31" s="898"/>
      <c r="P31" s="898"/>
      <c r="Q31" s="898"/>
      <c r="R31" s="898"/>
      <c r="S31" s="898"/>
    </row>
    <row r="32" spans="1:19" ht="12.75" customHeight="1">
      <c r="A32" s="2359" t="s">
        <v>1608</v>
      </c>
      <c r="B32" s="899" t="s">
        <v>1607</v>
      </c>
      <c r="C32" s="1164">
        <v>1114.51</v>
      </c>
      <c r="D32" s="1164">
        <v>3929.8</v>
      </c>
      <c r="E32" s="1165">
        <v>2033.0709999999999</v>
      </c>
      <c r="F32" s="1165">
        <v>2292.027</v>
      </c>
      <c r="G32" s="1166">
        <v>39.9</v>
      </c>
      <c r="H32" s="811">
        <v>373.51915033999995</v>
      </c>
      <c r="I32" s="811">
        <v>0</v>
      </c>
      <c r="O32" s="892"/>
      <c r="P32" s="892"/>
      <c r="Q32" s="892"/>
      <c r="R32" s="892"/>
      <c r="S32" s="892"/>
    </row>
    <row r="33" spans="1:10">
      <c r="A33" s="8"/>
      <c r="B33" s="8"/>
      <c r="C33" s="797"/>
      <c r="D33" s="797"/>
      <c r="E33" s="797"/>
      <c r="F33" s="797"/>
      <c r="G33" s="797"/>
      <c r="H33" s="1"/>
      <c r="I33" s="4"/>
    </row>
    <row r="34" spans="1:10">
      <c r="A34" s="1" t="s">
        <v>1246</v>
      </c>
      <c r="B34" s="8" t="s">
        <v>1609</v>
      </c>
      <c r="C34" s="797"/>
      <c r="D34" s="797"/>
      <c r="G34" s="28" t="s">
        <v>1610</v>
      </c>
      <c r="H34" s="1"/>
      <c r="I34" s="4"/>
    </row>
    <row r="35" spans="1:10" ht="12.75" customHeight="1">
      <c r="A35" s="1176"/>
      <c r="B35" s="1177" t="s">
        <v>2177</v>
      </c>
      <c r="C35" s="1177"/>
      <c r="D35" s="1177"/>
      <c r="E35" s="1177"/>
      <c r="F35" s="1177"/>
      <c r="G35" s="1177"/>
      <c r="H35" s="59"/>
      <c r="I35" s="59"/>
      <c r="J35" s="59"/>
    </row>
    <row r="36" spans="1:10">
      <c r="A36" s="1"/>
      <c r="B36" s="8" t="s">
        <v>2176</v>
      </c>
      <c r="C36" s="797"/>
      <c r="D36" s="797"/>
      <c r="G36" s="28"/>
      <c r="H36" s="1"/>
      <c r="I36" s="4"/>
    </row>
    <row r="37" spans="1:10" ht="13.5" customHeight="1">
      <c r="A37" s="900" t="s">
        <v>273</v>
      </c>
      <c r="B37" s="1357" t="s">
        <v>1611</v>
      </c>
      <c r="C37" s="1358"/>
      <c r="D37" s="1358"/>
      <c r="E37" s="1358"/>
      <c r="F37" s="1358"/>
      <c r="G37" s="1358"/>
      <c r="H37" s="906"/>
      <c r="I37" s="4"/>
    </row>
    <row r="38" spans="1:10">
      <c r="A38" s="8"/>
      <c r="B38" s="287" t="s">
        <v>2096</v>
      </c>
      <c r="C38" s="28"/>
      <c r="D38" s="28"/>
      <c r="E38" s="28"/>
      <c r="F38" s="28"/>
      <c r="G38" s="28"/>
      <c r="H38" s="907"/>
      <c r="I38" s="908"/>
    </row>
    <row r="39" spans="1:10">
      <c r="B39" s="1360" t="s">
        <v>2095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45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4"/>
  <sheetViews>
    <sheetView zoomScale="130" zoomScaleNormal="130" workbookViewId="0">
      <pane xSplit="1" ySplit="7" topLeftCell="F46" activePane="bottomRight" state="frozen"/>
      <selection activeCell="F85" sqref="F85"/>
      <selection pane="topRight" activeCell="F85" sqref="F85"/>
      <selection pane="bottomLeft" activeCell="F85" sqref="F85"/>
      <selection pane="bottomRight" activeCell="F59" sqref="F59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71"/>
      <c r="B1" s="1871"/>
      <c r="C1" s="1871"/>
      <c r="D1" s="1871"/>
      <c r="E1" s="1871"/>
      <c r="F1" s="1871"/>
      <c r="G1" s="1826" t="s">
        <v>129</v>
      </c>
      <c r="H1" s="1826"/>
      <c r="I1" s="1826"/>
      <c r="J1" s="1248" t="s">
        <v>326</v>
      </c>
      <c r="K1" s="36"/>
      <c r="L1" s="36"/>
      <c r="M1" s="36"/>
      <c r="N1" s="1854" t="s">
        <v>201</v>
      </c>
      <c r="O1" s="1854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55" t="s">
        <v>879</v>
      </c>
      <c r="G2" s="1855"/>
      <c r="H2" s="1855"/>
      <c r="I2" s="1855"/>
      <c r="J2" s="173" t="s">
        <v>1387</v>
      </c>
      <c r="K2" s="173"/>
      <c r="N2" s="1856"/>
      <c r="O2" s="1856"/>
    </row>
    <row r="3" spans="1:68" s="184" customFormat="1" ht="23.25" customHeight="1">
      <c r="A3" s="1875" t="s">
        <v>524</v>
      </c>
      <c r="B3" s="1876" t="s">
        <v>911</v>
      </c>
      <c r="C3" s="1876"/>
      <c r="D3" s="1876"/>
      <c r="E3" s="1877"/>
      <c r="F3" s="1857" t="s">
        <v>2261</v>
      </c>
      <c r="G3" s="1858"/>
      <c r="H3" s="1858"/>
      <c r="I3" s="1859"/>
      <c r="J3" s="1818" t="s">
        <v>1762</v>
      </c>
      <c r="K3" s="1860"/>
      <c r="L3" s="1861"/>
      <c r="M3" s="1818" t="s">
        <v>294</v>
      </c>
      <c r="N3" s="1861"/>
      <c r="O3" s="1862" t="s">
        <v>524</v>
      </c>
    </row>
    <row r="4" spans="1:68" s="184" customFormat="1" ht="24.75" customHeight="1">
      <c r="A4" s="1875"/>
      <c r="B4" s="1878"/>
      <c r="C4" s="1878"/>
      <c r="D4" s="1878"/>
      <c r="E4" s="1879"/>
      <c r="F4" s="1817" t="s">
        <v>2262</v>
      </c>
      <c r="G4" s="1865"/>
      <c r="H4" s="1865"/>
      <c r="I4" s="1866"/>
      <c r="J4" s="1867" t="s">
        <v>197</v>
      </c>
      <c r="K4" s="1868"/>
      <c r="L4" s="1786" t="s">
        <v>2170</v>
      </c>
      <c r="M4" s="1869" t="s">
        <v>1249</v>
      </c>
      <c r="N4" s="1870"/>
      <c r="O4" s="1863"/>
    </row>
    <row r="5" spans="1:68" s="184" customFormat="1" ht="21.75" customHeight="1">
      <c r="A5" s="1875"/>
      <c r="B5" s="1880" t="s">
        <v>907</v>
      </c>
      <c r="C5" s="1873" t="s">
        <v>908</v>
      </c>
      <c r="D5" s="1873" t="s">
        <v>909</v>
      </c>
      <c r="E5" s="1873" t="s">
        <v>910</v>
      </c>
      <c r="F5" s="1786" t="s">
        <v>2263</v>
      </c>
      <c r="G5" s="1815" t="s">
        <v>2264</v>
      </c>
      <c r="H5" s="1815" t="s">
        <v>2265</v>
      </c>
      <c r="I5" s="1815" t="s">
        <v>2266</v>
      </c>
      <c r="J5" s="1786" t="s">
        <v>1248</v>
      </c>
      <c r="K5" s="1786" t="s">
        <v>1355</v>
      </c>
      <c r="L5" s="1847"/>
      <c r="M5" s="1786" t="s">
        <v>1119</v>
      </c>
      <c r="N5" s="1786" t="s">
        <v>1118</v>
      </c>
      <c r="O5" s="1863"/>
    </row>
    <row r="6" spans="1:68" s="184" customFormat="1" ht="14.25" customHeight="1">
      <c r="A6" s="1875"/>
      <c r="B6" s="1881"/>
      <c r="C6" s="1874"/>
      <c r="D6" s="1874"/>
      <c r="E6" s="1874"/>
      <c r="F6" s="1787"/>
      <c r="G6" s="1816"/>
      <c r="H6" s="1816"/>
      <c r="I6" s="1816"/>
      <c r="J6" s="1787"/>
      <c r="K6" s="1787"/>
      <c r="L6" s="1787"/>
      <c r="M6" s="1787"/>
      <c r="N6" s="1787"/>
      <c r="O6" s="1863"/>
    </row>
    <row r="7" spans="1:68" s="28" customFormat="1" ht="12.75" customHeight="1">
      <c r="A7" s="1875"/>
      <c r="B7" s="1114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64"/>
      <c r="P7" s="1012"/>
      <c r="Q7" s="1012"/>
      <c r="R7" s="1012"/>
      <c r="S7" s="1012"/>
      <c r="T7" s="1012"/>
      <c r="U7" s="1012"/>
      <c r="V7" s="1012"/>
      <c r="W7" s="1012"/>
      <c r="X7" s="1012"/>
      <c r="Y7" s="1012"/>
      <c r="Z7" s="1012"/>
      <c r="AA7" s="1012"/>
      <c r="AB7" s="1012"/>
      <c r="AC7" s="1012"/>
      <c r="AD7" s="1012"/>
      <c r="AE7" s="1012"/>
      <c r="AF7" s="1012"/>
      <c r="AG7" s="1012"/>
      <c r="AH7" s="1012"/>
      <c r="AI7" s="1012"/>
      <c r="AJ7" s="1012"/>
      <c r="AK7" s="1012"/>
      <c r="AL7" s="1012"/>
      <c r="AM7" s="1012"/>
      <c r="AN7" s="1012"/>
      <c r="AO7" s="1012"/>
      <c r="AP7" s="1012"/>
      <c r="AQ7" s="1012"/>
      <c r="AR7" s="1012"/>
      <c r="AS7" s="1012"/>
      <c r="AT7" s="1012"/>
      <c r="AU7" s="1012"/>
      <c r="AV7" s="1012"/>
      <c r="AW7" s="1012"/>
      <c r="AX7" s="1012"/>
      <c r="AY7" s="1012"/>
      <c r="AZ7" s="1012"/>
      <c r="BA7" s="1012"/>
      <c r="BB7" s="1012"/>
      <c r="BC7" s="1012"/>
      <c r="BD7" s="1012"/>
      <c r="BE7" s="1012"/>
      <c r="BF7" s="1012"/>
      <c r="BG7" s="1012"/>
      <c r="BH7" s="1012"/>
      <c r="BI7" s="1012"/>
      <c r="BJ7" s="1012"/>
      <c r="BK7" s="1012"/>
      <c r="BL7" s="1012"/>
      <c r="BM7" s="1012"/>
      <c r="BN7" s="1012"/>
      <c r="BO7" s="1012"/>
      <c r="BP7" s="1012"/>
    </row>
    <row r="8" spans="1:68" s="393" customFormat="1" ht="10.5" customHeight="1">
      <c r="A8" s="382" t="s">
        <v>198</v>
      </c>
      <c r="B8" s="238">
        <v>11.14</v>
      </c>
      <c r="C8" s="238">
        <v>10.17</v>
      </c>
      <c r="D8" s="238" t="s">
        <v>305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198</v>
      </c>
    </row>
    <row r="9" spans="1:68" s="393" customFormat="1" ht="10.5" customHeight="1">
      <c r="A9" s="354" t="s">
        <v>789</v>
      </c>
      <c r="B9" s="322">
        <v>5.54</v>
      </c>
      <c r="C9" s="322">
        <v>8.56</v>
      </c>
      <c r="D9" s="322" t="s">
        <v>305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789</v>
      </c>
    </row>
    <row r="10" spans="1:68" s="393" customFormat="1" ht="10.5" customHeight="1">
      <c r="A10" s="278" t="s">
        <v>905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905</v>
      </c>
    </row>
    <row r="11" spans="1:68" s="280" customFormat="1" ht="10.5" customHeight="1">
      <c r="A11" s="354" t="s">
        <v>1104</v>
      </c>
      <c r="B11" s="323">
        <v>6.97</v>
      </c>
      <c r="C11" s="323" t="s">
        <v>305</v>
      </c>
      <c r="D11" s="323">
        <v>7.35</v>
      </c>
      <c r="E11" s="323" t="s">
        <v>305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1104</v>
      </c>
    </row>
    <row r="12" spans="1:68" s="280" customFormat="1" ht="10.5" customHeight="1">
      <c r="A12" s="278" t="s">
        <v>1163</v>
      </c>
      <c r="B12" s="281">
        <v>6.25</v>
      </c>
      <c r="C12" s="281" t="s">
        <v>305</v>
      </c>
      <c r="D12" s="281">
        <v>6.4</v>
      </c>
      <c r="E12" s="281" t="s">
        <v>305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1163</v>
      </c>
    </row>
    <row r="13" spans="1:68" s="280" customFormat="1" ht="10.5" customHeight="1">
      <c r="A13" s="354" t="s">
        <v>1295</v>
      </c>
      <c r="B13" s="323">
        <v>5.53</v>
      </c>
      <c r="C13" s="323" t="s">
        <v>305</v>
      </c>
      <c r="D13" s="323">
        <v>5.92</v>
      </c>
      <c r="E13" s="323" t="s">
        <v>305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1295</v>
      </c>
    </row>
    <row r="14" spans="1:68" s="280" customFormat="1" ht="10.5" customHeight="1">
      <c r="A14" s="278" t="s">
        <v>1328</v>
      </c>
      <c r="B14" s="281">
        <v>5.94</v>
      </c>
      <c r="C14" s="281" t="s">
        <v>305</v>
      </c>
      <c r="D14" s="281">
        <v>5.44</v>
      </c>
      <c r="E14" s="281" t="s">
        <v>305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1328</v>
      </c>
    </row>
    <row r="15" spans="1:68" s="280" customFormat="1" ht="10.5" customHeight="1">
      <c r="A15" s="354" t="s">
        <v>1467</v>
      </c>
      <c r="B15" s="323">
        <v>5.54</v>
      </c>
      <c r="C15" s="323" t="s">
        <v>305</v>
      </c>
      <c r="D15" s="323">
        <v>5.78</v>
      </c>
      <c r="E15" s="323" t="s">
        <v>305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1467</v>
      </c>
    </row>
    <row r="16" spans="1:68" s="280" customFormat="1" ht="10.5" customHeight="1">
      <c r="A16" s="278" t="s">
        <v>1596</v>
      </c>
      <c r="B16" s="281">
        <v>5.52</v>
      </c>
      <c r="C16" s="281" t="s">
        <v>305</v>
      </c>
      <c r="D16" s="281">
        <v>5.48</v>
      </c>
      <c r="E16" s="281" t="s">
        <v>305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1596</v>
      </c>
    </row>
    <row r="17" spans="1:17" s="280" customFormat="1" ht="10.5" customHeight="1">
      <c r="A17" s="394" t="s">
        <v>1691</v>
      </c>
      <c r="B17" s="590">
        <v>6.02</v>
      </c>
      <c r="C17" s="366" t="s">
        <v>305</v>
      </c>
      <c r="D17" s="366">
        <v>5.6476114685594103</v>
      </c>
      <c r="E17" s="366" t="s">
        <v>305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1691</v>
      </c>
    </row>
    <row r="18" spans="1:17" s="280" customFormat="1" ht="10.5" customHeight="1">
      <c r="A18" s="107" t="s">
        <v>1760</v>
      </c>
      <c r="B18" s="538">
        <f>B30</f>
        <v>5.64</v>
      </c>
      <c r="C18" s="374" t="s">
        <v>305</v>
      </c>
      <c r="D18" s="374">
        <f>D30</f>
        <v>5.56</v>
      </c>
      <c r="E18" s="374" t="s">
        <v>305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4" t="s">
        <v>1760</v>
      </c>
    </row>
    <row r="19" spans="1:17" s="280" customFormat="1" ht="10.5" customHeight="1">
      <c r="A19" s="438" t="s">
        <v>603</v>
      </c>
      <c r="B19" s="323">
        <v>5.53</v>
      </c>
      <c r="C19" s="323" t="s">
        <v>305</v>
      </c>
      <c r="D19" s="323">
        <v>5.64</v>
      </c>
      <c r="E19" s="323" t="s">
        <v>305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603</v>
      </c>
      <c r="P19" s="281"/>
    </row>
    <row r="20" spans="1:17" s="280" customFormat="1" ht="10.5" customHeight="1">
      <c r="A20" s="424" t="s">
        <v>604</v>
      </c>
      <c r="B20" s="281">
        <v>5.68</v>
      </c>
      <c r="C20" s="281" t="s">
        <v>305</v>
      </c>
      <c r="D20" s="281">
        <v>5.6547200899186079</v>
      </c>
      <c r="E20" s="281" t="s">
        <v>305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604</v>
      </c>
      <c r="P20" s="281"/>
    </row>
    <row r="21" spans="1:17" s="280" customFormat="1" ht="10.5" customHeight="1">
      <c r="A21" s="438" t="s">
        <v>598</v>
      </c>
      <c r="B21" s="323">
        <v>5.97</v>
      </c>
      <c r="C21" s="323" t="s">
        <v>305</v>
      </c>
      <c r="D21" s="323">
        <v>5.6907183725365407</v>
      </c>
      <c r="E21" s="323" t="s">
        <v>305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598</v>
      </c>
      <c r="P21" s="281"/>
    </row>
    <row r="22" spans="1:17" s="280" customFormat="1" ht="10.5" customHeight="1">
      <c r="A22" s="424" t="s">
        <v>605</v>
      </c>
      <c r="B22" s="281">
        <v>6.44</v>
      </c>
      <c r="C22" s="281" t="s">
        <v>305</v>
      </c>
      <c r="D22" s="281">
        <v>5.7740564589879639</v>
      </c>
      <c r="E22" s="281" t="s">
        <v>305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605</v>
      </c>
      <c r="P22" s="281"/>
    </row>
    <row r="23" spans="1:17" s="280" customFormat="1" ht="10.5" customHeight="1">
      <c r="A23" s="438" t="s">
        <v>606</v>
      </c>
      <c r="B23" s="323">
        <v>5.52</v>
      </c>
      <c r="C23" s="323" t="s">
        <v>305</v>
      </c>
      <c r="D23" s="323">
        <v>5.7302638415250406</v>
      </c>
      <c r="E23" s="323" t="s">
        <v>305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606</v>
      </c>
      <c r="P23" s="281"/>
    </row>
    <row r="24" spans="1:17" s="280" customFormat="1" ht="10.5" customHeight="1">
      <c r="A24" s="424" t="s">
        <v>599</v>
      </c>
      <c r="B24" s="281">
        <v>5.29</v>
      </c>
      <c r="C24" s="281" t="s">
        <v>305</v>
      </c>
      <c r="D24" s="281">
        <v>5.691074747462066</v>
      </c>
      <c r="E24" s="281" t="s">
        <v>305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599</v>
      </c>
      <c r="P24" s="281"/>
    </row>
    <row r="25" spans="1:17" s="280" customFormat="1" ht="10.5" customHeight="1">
      <c r="A25" s="438" t="s">
        <v>607</v>
      </c>
      <c r="B25" s="323">
        <v>5.0199999999999996</v>
      </c>
      <c r="C25" s="323" t="s">
        <v>305</v>
      </c>
      <c r="D25" s="323">
        <v>5.6430352022812658</v>
      </c>
      <c r="E25" s="323" t="s">
        <v>305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607</v>
      </c>
      <c r="P25" s="281"/>
    </row>
    <row r="26" spans="1:17" s="280" customFormat="1" ht="10.5" customHeight="1">
      <c r="A26" s="424" t="s">
        <v>608</v>
      </c>
      <c r="B26" s="281">
        <v>5.32</v>
      </c>
      <c r="C26" s="281" t="s">
        <v>305</v>
      </c>
      <c r="D26" s="281">
        <v>5.6304473421008305</v>
      </c>
      <c r="E26" s="281" t="s">
        <v>305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608</v>
      </c>
      <c r="P26" s="281"/>
    </row>
    <row r="27" spans="1:17" s="280" customFormat="1" ht="10.5" customHeight="1">
      <c r="A27" s="438" t="s">
        <v>600</v>
      </c>
      <c r="B27" s="323">
        <v>5.47</v>
      </c>
      <c r="C27" s="323" t="s">
        <v>305</v>
      </c>
      <c r="D27" s="323">
        <v>5.6286025282636043</v>
      </c>
      <c r="E27" s="323" t="s">
        <v>305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600</v>
      </c>
      <c r="P27" s="252"/>
    </row>
    <row r="28" spans="1:17" s="280" customFormat="1" ht="10.5" customHeight="1">
      <c r="A28" s="424" t="s">
        <v>609</v>
      </c>
      <c r="B28" s="281">
        <v>5.56</v>
      </c>
      <c r="C28" s="281" t="s">
        <v>305</v>
      </c>
      <c r="D28" s="281">
        <v>5.5962455762425423</v>
      </c>
      <c r="E28" s="281" t="s">
        <v>305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609</v>
      </c>
      <c r="P28" s="1144"/>
    </row>
    <row r="29" spans="1:17" s="280" customFormat="1" ht="10.5" customHeight="1">
      <c r="A29" s="438" t="s">
        <v>610</v>
      </c>
      <c r="B29" s="323">
        <v>5.26</v>
      </c>
      <c r="C29" s="323" t="s">
        <v>305</v>
      </c>
      <c r="D29" s="323">
        <v>5.5874241588527385</v>
      </c>
      <c r="E29" s="323" t="s">
        <v>305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610</v>
      </c>
      <c r="P29" s="252"/>
    </row>
    <row r="30" spans="1:17" s="280" customFormat="1" ht="10.5" customHeight="1">
      <c r="A30" s="424" t="s">
        <v>601</v>
      </c>
      <c r="B30" s="281">
        <v>5.64</v>
      </c>
      <c r="C30" s="281" t="s">
        <v>305</v>
      </c>
      <c r="D30" s="281">
        <v>5.56</v>
      </c>
      <c r="E30" s="281" t="s">
        <v>305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601</v>
      </c>
      <c r="P30" s="252"/>
    </row>
    <row r="31" spans="1:17" s="280" customFormat="1" ht="11.25" customHeight="1">
      <c r="A31" s="1250" t="s">
        <v>2159</v>
      </c>
      <c r="B31" s="590">
        <f>B43</f>
        <v>7.56</v>
      </c>
      <c r="C31" s="366" t="s">
        <v>305</v>
      </c>
      <c r="D31" s="366">
        <f>D43</f>
        <v>6.15</v>
      </c>
      <c r="E31" s="366" t="s">
        <v>305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2159</v>
      </c>
      <c r="P31" s="252"/>
    </row>
    <row r="32" spans="1:17" s="280" customFormat="1" ht="10.5" customHeight="1">
      <c r="A32" s="424" t="s">
        <v>603</v>
      </c>
      <c r="B32" s="281">
        <v>5.36</v>
      </c>
      <c r="C32" s="281" t="s">
        <v>305</v>
      </c>
      <c r="D32" s="281">
        <v>5.5433772763430422</v>
      </c>
      <c r="E32" s="281" t="s">
        <v>305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603</v>
      </c>
      <c r="P32" s="397"/>
      <c r="Q32" s="397"/>
    </row>
    <row r="33" spans="1:17" s="280" customFormat="1" ht="10.5" customHeight="1">
      <c r="A33" s="438" t="s">
        <v>604</v>
      </c>
      <c r="B33" s="323">
        <v>5.54</v>
      </c>
      <c r="C33" s="323" t="s">
        <v>305</v>
      </c>
      <c r="D33" s="323">
        <v>5.5322003983305335</v>
      </c>
      <c r="E33" s="323" t="s">
        <v>305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604</v>
      </c>
      <c r="P33" s="397"/>
      <c r="Q33" s="397"/>
    </row>
    <row r="34" spans="1:17" s="280" customFormat="1" ht="10.5" customHeight="1">
      <c r="A34" s="424" t="s">
        <v>598</v>
      </c>
      <c r="B34" s="281">
        <v>5.59</v>
      </c>
      <c r="C34" s="281" t="s">
        <v>305</v>
      </c>
      <c r="D34" s="281">
        <v>5.5</v>
      </c>
      <c r="E34" s="281" t="s">
        <v>305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598</v>
      </c>
      <c r="P34" s="397"/>
      <c r="Q34" s="397"/>
    </row>
    <row r="35" spans="1:17" s="280" customFormat="1" ht="10.5" customHeight="1">
      <c r="A35" s="438" t="s">
        <v>605</v>
      </c>
      <c r="B35" s="323">
        <v>5.7</v>
      </c>
      <c r="C35" s="323" t="s">
        <v>305</v>
      </c>
      <c r="D35" s="323">
        <v>5.44</v>
      </c>
      <c r="E35" s="323" t="s">
        <v>305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605</v>
      </c>
      <c r="P35" s="397"/>
      <c r="Q35" s="397"/>
    </row>
    <row r="36" spans="1:17" s="280" customFormat="1" ht="10.5" customHeight="1">
      <c r="A36" s="424" t="s">
        <v>606</v>
      </c>
      <c r="B36" s="281">
        <v>5.98</v>
      </c>
      <c r="C36" s="281" t="s">
        <v>305</v>
      </c>
      <c r="D36" s="281">
        <v>5.4813491177127638</v>
      </c>
      <c r="E36" s="281" t="s">
        <v>305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606</v>
      </c>
      <c r="P36" s="397"/>
      <c r="Q36" s="397"/>
    </row>
    <row r="37" spans="1:17" s="280" customFormat="1" ht="10.5" customHeight="1">
      <c r="A37" s="438" t="s">
        <v>599</v>
      </c>
      <c r="B37" s="323">
        <v>6.05</v>
      </c>
      <c r="C37" s="323" t="s">
        <v>305</v>
      </c>
      <c r="D37" s="323">
        <v>5.54</v>
      </c>
      <c r="E37" s="323" t="s">
        <v>305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599</v>
      </c>
      <c r="P37" s="397"/>
      <c r="Q37" s="397"/>
    </row>
    <row r="38" spans="1:17" s="295" customFormat="1" ht="10.5" customHeight="1">
      <c r="A38" s="278" t="s">
        <v>607</v>
      </c>
      <c r="B38" s="281">
        <v>5.86</v>
      </c>
      <c r="C38" s="281" t="s">
        <v>305</v>
      </c>
      <c r="D38" s="281">
        <v>5.62</v>
      </c>
      <c r="E38" s="281" t="s">
        <v>305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607</v>
      </c>
      <c r="P38" s="1366"/>
    </row>
    <row r="39" spans="1:17" s="295" customFormat="1" ht="10.5" customHeight="1">
      <c r="A39" s="354" t="s">
        <v>608</v>
      </c>
      <c r="B39" s="323">
        <v>6.17</v>
      </c>
      <c r="C39" s="323" t="s">
        <v>305</v>
      </c>
      <c r="D39" s="323">
        <v>5.6861320951678174</v>
      </c>
      <c r="E39" s="323" t="s">
        <v>305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608</v>
      </c>
      <c r="P39" s="1366"/>
    </row>
    <row r="40" spans="1:17" s="295" customFormat="1" ht="10.5" customHeight="1">
      <c r="A40" s="278" t="s">
        <v>600</v>
      </c>
      <c r="B40" s="281">
        <v>6.22</v>
      </c>
      <c r="C40" s="281" t="s">
        <v>305</v>
      </c>
      <c r="D40" s="281">
        <v>5.7496501613063966</v>
      </c>
      <c r="E40" s="281" t="s">
        <v>305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600</v>
      </c>
      <c r="P40" s="1366"/>
    </row>
    <row r="41" spans="1:17" s="295" customFormat="1" ht="10.5" customHeight="1">
      <c r="A41" s="354" t="s">
        <v>609</v>
      </c>
      <c r="B41" s="323">
        <v>6.29</v>
      </c>
      <c r="C41" s="323" t="s">
        <v>305</v>
      </c>
      <c r="D41" s="323">
        <v>5.8114153321578765</v>
      </c>
      <c r="E41" s="323" t="s">
        <v>305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609</v>
      </c>
      <c r="P41" s="1366"/>
    </row>
    <row r="42" spans="1:17" s="295" customFormat="1" ht="10.5" customHeight="1">
      <c r="A42" s="278" t="s">
        <v>610</v>
      </c>
      <c r="B42" s="281">
        <v>7.42</v>
      </c>
      <c r="C42" s="281" t="s">
        <v>305</v>
      </c>
      <c r="D42" s="281">
        <v>5.9894246228676229</v>
      </c>
      <c r="E42" s="281" t="s">
        <v>305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610</v>
      </c>
      <c r="P42" s="1366"/>
    </row>
    <row r="43" spans="1:17" s="295" customFormat="1" ht="10.5" customHeight="1">
      <c r="A43" s="354" t="s">
        <v>601</v>
      </c>
      <c r="B43" s="323">
        <v>7.56</v>
      </c>
      <c r="C43" s="323" t="s">
        <v>305</v>
      </c>
      <c r="D43" s="323">
        <v>6.15</v>
      </c>
      <c r="E43" s="323" t="s">
        <v>305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601</v>
      </c>
      <c r="P43" s="1366"/>
    </row>
    <row r="44" spans="1:17" s="295" customFormat="1" ht="12.75" customHeight="1">
      <c r="A44" s="396" t="s">
        <v>2476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2476</v>
      </c>
      <c r="P44" s="1366"/>
    </row>
    <row r="45" spans="1:17" s="295" customFormat="1" ht="10.5" customHeight="1">
      <c r="A45" s="354" t="s">
        <v>603</v>
      </c>
      <c r="B45" s="323">
        <v>7.48</v>
      </c>
      <c r="C45" s="323" t="s">
        <v>305</v>
      </c>
      <c r="D45" s="323">
        <v>6.325224955699249</v>
      </c>
      <c r="E45" s="323" t="s">
        <v>305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603</v>
      </c>
      <c r="P45" s="1631"/>
      <c r="Q45" s="1632"/>
    </row>
    <row r="46" spans="1:17" s="295" customFormat="1" ht="10.5" customHeight="1">
      <c r="A46" s="278" t="s">
        <v>604</v>
      </c>
      <c r="B46" s="281">
        <v>9.52</v>
      </c>
      <c r="C46" s="281" t="s">
        <v>305</v>
      </c>
      <c r="D46" s="281">
        <v>6.6609199681544995</v>
      </c>
      <c r="E46" s="281" t="s">
        <v>305</v>
      </c>
      <c r="F46" s="281">
        <v>517.33000000000004</v>
      </c>
      <c r="G46" s="281">
        <v>158.08000000000001</v>
      </c>
      <c r="H46" s="281">
        <v>443.74</v>
      </c>
      <c r="I46" s="281">
        <v>495.31</v>
      </c>
      <c r="J46" s="252">
        <v>4607</v>
      </c>
      <c r="K46" s="252">
        <v>7305.7999999999993</v>
      </c>
      <c r="L46" s="252">
        <v>39065.793945680001</v>
      </c>
      <c r="M46" s="397">
        <v>94.9</v>
      </c>
      <c r="N46" s="397">
        <v>95</v>
      </c>
      <c r="O46" s="419" t="s">
        <v>604</v>
      </c>
      <c r="P46" s="1631"/>
      <c r="Q46" s="1632"/>
    </row>
    <row r="47" spans="1:17" s="295" customFormat="1" ht="10.5" customHeight="1">
      <c r="A47" s="354" t="s">
        <v>598</v>
      </c>
      <c r="B47" s="323">
        <v>9.1</v>
      </c>
      <c r="C47" s="323" t="s">
        <v>305</v>
      </c>
      <c r="D47" s="323">
        <v>6.9598855175087682</v>
      </c>
      <c r="E47" s="323" t="s">
        <v>305</v>
      </c>
      <c r="F47" s="323">
        <v>496.1</v>
      </c>
      <c r="G47" s="323">
        <v>189.2</v>
      </c>
      <c r="H47" s="323">
        <v>432.49</v>
      </c>
      <c r="I47" s="323">
        <v>477.23</v>
      </c>
      <c r="J47" s="317">
        <v>3905.07</v>
      </c>
      <c r="K47" s="317">
        <v>6559.6000000000013</v>
      </c>
      <c r="L47" s="317">
        <v>36476.406830829997</v>
      </c>
      <c r="M47" s="384">
        <v>95.619</v>
      </c>
      <c r="N47" s="384">
        <v>96</v>
      </c>
      <c r="O47" s="385" t="s">
        <v>598</v>
      </c>
      <c r="P47" s="1631"/>
      <c r="Q47" s="1632"/>
    </row>
    <row r="48" spans="1:17" s="295" customFormat="1" ht="10.5" customHeight="1">
      <c r="A48" s="278" t="s">
        <v>605</v>
      </c>
      <c r="B48" s="281">
        <v>8.91</v>
      </c>
      <c r="C48" s="281" t="s">
        <v>305</v>
      </c>
      <c r="D48" s="281">
        <v>7.2341355183939138</v>
      </c>
      <c r="E48" s="281" t="s">
        <v>305</v>
      </c>
      <c r="F48" s="281" t="s">
        <v>305</v>
      </c>
      <c r="G48" s="281" t="s">
        <v>305</v>
      </c>
      <c r="H48" s="281" t="s">
        <v>305</v>
      </c>
      <c r="I48" s="281" t="s">
        <v>305</v>
      </c>
      <c r="J48" s="252">
        <v>4356.62</v>
      </c>
      <c r="K48" s="252">
        <v>6412.04</v>
      </c>
      <c r="L48" s="252">
        <v>35808.734135990002</v>
      </c>
      <c r="M48" s="397">
        <v>96.65</v>
      </c>
      <c r="N48" s="397">
        <v>97</v>
      </c>
      <c r="O48" s="419" t="s">
        <v>605</v>
      </c>
      <c r="P48" s="1631"/>
      <c r="Q48" s="1632"/>
    </row>
    <row r="49" spans="1:17" s="295" customFormat="1" ht="10.5" customHeight="1">
      <c r="A49" s="354" t="s">
        <v>606</v>
      </c>
      <c r="B49" s="323">
        <v>8.85</v>
      </c>
      <c r="C49" s="323" t="s">
        <v>305</v>
      </c>
      <c r="D49" s="323">
        <v>7.4767067592749425</v>
      </c>
      <c r="E49" s="323" t="s">
        <v>305</v>
      </c>
      <c r="F49" s="323" t="s">
        <v>305</v>
      </c>
      <c r="G49" s="323" t="s">
        <v>305</v>
      </c>
      <c r="H49" s="323" t="s">
        <v>305</v>
      </c>
      <c r="I49" s="323" t="s">
        <v>305</v>
      </c>
      <c r="J49" s="317">
        <v>5092.5600000000004</v>
      </c>
      <c r="K49" s="317">
        <v>5885.2000000000007</v>
      </c>
      <c r="L49" s="317">
        <v>33789.615167439995</v>
      </c>
      <c r="M49" s="384">
        <v>97.636399999999995</v>
      </c>
      <c r="N49" s="384">
        <v>98</v>
      </c>
      <c r="O49" s="385" t="s">
        <v>606</v>
      </c>
      <c r="P49" s="1631"/>
      <c r="Q49" s="1632"/>
    </row>
    <row r="50" spans="1:17" s="295" customFormat="1" ht="10.5" customHeight="1" thickBot="1">
      <c r="A50" s="551" t="s">
        <v>599</v>
      </c>
      <c r="B50" s="786">
        <v>8.7100000000000009</v>
      </c>
      <c r="C50" s="786" t="s">
        <v>305</v>
      </c>
      <c r="D50" s="786">
        <v>7.6969543717689382</v>
      </c>
      <c r="E50" s="786" t="s">
        <v>305</v>
      </c>
      <c r="F50" s="786" t="s">
        <v>305</v>
      </c>
      <c r="G50" s="786" t="s">
        <v>305</v>
      </c>
      <c r="H50" s="786" t="s">
        <v>305</v>
      </c>
      <c r="I50" s="786" t="s">
        <v>305</v>
      </c>
      <c r="J50" s="692">
        <v>5365.19</v>
      </c>
      <c r="K50" s="692" t="s">
        <v>305</v>
      </c>
      <c r="L50" s="692">
        <v>33747.739202849996</v>
      </c>
      <c r="M50" s="1668">
        <v>98.857100000000003</v>
      </c>
      <c r="N50" s="1668">
        <v>99</v>
      </c>
      <c r="O50" s="1627" t="s">
        <v>599</v>
      </c>
      <c r="P50" s="1631"/>
      <c r="Q50" s="1632"/>
    </row>
    <row r="51" spans="1:17" s="40" customFormat="1" ht="10.5" customHeight="1">
      <c r="A51" s="399" t="s">
        <v>1513</v>
      </c>
      <c r="B51" s="1852" t="s">
        <v>1443</v>
      </c>
      <c r="C51" s="1852"/>
      <c r="D51" s="1852"/>
      <c r="E51" s="1852"/>
      <c r="F51" s="1852"/>
      <c r="G51" s="157"/>
      <c r="H51" s="157"/>
      <c r="I51" s="157"/>
      <c r="J51" s="400" t="s">
        <v>1515</v>
      </c>
      <c r="K51" s="1852" t="s">
        <v>1697</v>
      </c>
      <c r="L51" s="1852"/>
      <c r="M51" s="157"/>
      <c r="N51" s="157"/>
      <c r="O51" s="239"/>
      <c r="P51" s="1146"/>
    </row>
    <row r="52" spans="1:17" s="40" customFormat="1" ht="8.25" customHeight="1">
      <c r="B52" s="1872" t="s">
        <v>1442</v>
      </c>
      <c r="C52" s="1872"/>
      <c r="D52" s="1872"/>
      <c r="E52" s="1872"/>
      <c r="F52" s="1872"/>
      <c r="G52" s="1872"/>
      <c r="H52" s="1872"/>
      <c r="I52" s="1872"/>
      <c r="J52" s="114"/>
      <c r="K52" s="1852" t="s">
        <v>1444</v>
      </c>
      <c r="L52" s="1852"/>
      <c r="M52" s="1852"/>
      <c r="N52" s="1852"/>
      <c r="O52" s="44"/>
      <c r="P52" s="50"/>
    </row>
    <row r="53" spans="1:17" s="40" customFormat="1" ht="9.9499999999999993" customHeight="1">
      <c r="B53" s="760" t="s">
        <v>2275</v>
      </c>
      <c r="C53" s="760"/>
      <c r="D53" s="760"/>
      <c r="E53" s="760"/>
      <c r="F53" s="760"/>
      <c r="G53" s="760"/>
      <c r="H53" s="1247"/>
      <c r="I53" s="1273"/>
      <c r="J53" s="876"/>
      <c r="K53" s="1853" t="s">
        <v>1360</v>
      </c>
      <c r="L53" s="1853"/>
      <c r="M53" s="1853"/>
      <c r="N53" s="1853"/>
      <c r="O53" s="1853"/>
    </row>
    <row r="54" spans="1:17" s="40" customFormat="1" ht="9.75" customHeight="1">
      <c r="A54" s="40" t="s">
        <v>675</v>
      </c>
      <c r="H54" s="1677"/>
      <c r="I54" s="1274"/>
      <c r="J54" s="114"/>
      <c r="K54" s="1853" t="s">
        <v>1584</v>
      </c>
      <c r="L54" s="1853"/>
      <c r="M54" s="1853"/>
      <c r="N54" s="1853"/>
      <c r="O54" s="1075"/>
    </row>
    <row r="55" spans="1:17" s="40" customFormat="1" ht="9.9499999999999993" customHeight="1">
      <c r="B55" s="50" t="s">
        <v>1509</v>
      </c>
      <c r="C55" s="760"/>
      <c r="D55" s="760"/>
      <c r="E55" s="760"/>
      <c r="F55" s="760"/>
      <c r="G55" s="760"/>
      <c r="H55" s="760"/>
      <c r="I55" s="816"/>
      <c r="J55" s="114"/>
      <c r="K55" s="1852" t="s">
        <v>2118</v>
      </c>
      <c r="L55" s="1852"/>
      <c r="M55" s="1852"/>
      <c r="N55" s="1852"/>
    </row>
    <row r="56" spans="1:17" s="40" customFormat="1" ht="9.9499999999999993" customHeight="1">
      <c r="A56" s="143" t="s">
        <v>1514</v>
      </c>
      <c r="B56" s="1853" t="s">
        <v>199</v>
      </c>
      <c r="C56" s="1853"/>
      <c r="D56" s="50"/>
      <c r="E56" s="289" t="s">
        <v>1465</v>
      </c>
      <c r="F56" s="50"/>
      <c r="H56" s="39"/>
      <c r="I56" s="1274"/>
      <c r="J56" s="172" t="s">
        <v>1516</v>
      </c>
      <c r="K56" s="45" t="s">
        <v>1445</v>
      </c>
      <c r="L56" s="45"/>
      <c r="M56" s="45"/>
      <c r="O56" s="157"/>
      <c r="P56" s="50"/>
    </row>
    <row r="57" spans="1:17" s="40" customFormat="1" ht="9.9499999999999993" customHeight="1">
      <c r="D57" s="50"/>
      <c r="F57" s="50"/>
      <c r="H57" s="40" t="s">
        <v>675</v>
      </c>
      <c r="I57" s="1274"/>
      <c r="J57" s="1247" t="s">
        <v>200</v>
      </c>
      <c r="K57" s="1851" t="s">
        <v>1737</v>
      </c>
      <c r="L57" s="1851"/>
      <c r="M57" s="1851"/>
      <c r="N57" s="1851"/>
      <c r="O57" s="1145"/>
      <c r="P57" s="1146"/>
    </row>
    <row r="58" spans="1:17" s="40" customFormat="1" ht="12.75" customHeight="1">
      <c r="B58" s="8"/>
      <c r="H58" s="1064"/>
      <c r="I58" s="1274"/>
      <c r="J58" s="816"/>
      <c r="K58" s="478"/>
      <c r="L58" s="1145"/>
      <c r="N58" s="1052"/>
    </row>
    <row r="59" spans="1:17" ht="13.5" customHeight="1">
      <c r="A59" s="40"/>
      <c r="C59" s="40"/>
      <c r="D59" s="40"/>
      <c r="E59" s="40"/>
      <c r="F59" s="40"/>
      <c r="G59" s="40"/>
      <c r="H59" s="1064"/>
      <c r="I59" s="1274"/>
      <c r="J59" s="1409"/>
      <c r="K59" s="1220"/>
      <c r="L59" s="1145"/>
      <c r="M59" s="40"/>
      <c r="N59" s="40"/>
      <c r="O59" s="40"/>
    </row>
    <row r="60" spans="1:17" ht="12.75">
      <c r="C60" s="171"/>
      <c r="D60" s="9"/>
      <c r="E60" s="171"/>
      <c r="F60" s="9"/>
      <c r="G60" s="9"/>
      <c r="H60" s="1064"/>
      <c r="I60" s="1274"/>
      <c r="J60" s="1409"/>
      <c r="K60" s="1220"/>
      <c r="L60" s="1145"/>
      <c r="M60" s="154"/>
      <c r="N60" s="154"/>
      <c r="O60" s="9"/>
    </row>
    <row r="61" spans="1:17" ht="12.75">
      <c r="C61" s="171"/>
      <c r="D61" s="9"/>
      <c r="E61" s="171"/>
      <c r="F61" s="9"/>
      <c r="G61" s="9"/>
      <c r="H61" s="1064"/>
      <c r="I61" s="1274"/>
      <c r="J61" s="1409"/>
      <c r="K61" s="1220"/>
      <c r="L61" s="1145"/>
      <c r="M61" s="154"/>
      <c r="N61" s="154"/>
      <c r="O61" s="9"/>
    </row>
    <row r="62" spans="1:17" ht="12.75">
      <c r="C62" s="171"/>
      <c r="D62" s="9"/>
      <c r="E62" s="171"/>
      <c r="F62" s="9"/>
      <c r="G62" s="9"/>
      <c r="H62" s="1064"/>
      <c r="I62" s="9"/>
      <c r="J62" s="1409"/>
      <c r="K62" s="1220"/>
      <c r="L62" s="1145"/>
      <c r="M62" s="154"/>
      <c r="N62" s="154"/>
      <c r="O62" s="9"/>
    </row>
    <row r="63" spans="1:17" ht="12.75">
      <c r="C63" s="171"/>
      <c r="D63" s="9"/>
      <c r="E63" s="171"/>
      <c r="F63" s="9"/>
      <c r="G63" s="154"/>
      <c r="H63" s="1064"/>
      <c r="I63" s="154"/>
      <c r="J63" s="1409"/>
      <c r="K63" s="1220"/>
      <c r="L63" s="154"/>
      <c r="M63" s="154"/>
      <c r="N63" s="154"/>
      <c r="O63" s="9"/>
    </row>
    <row r="64" spans="1:17" ht="12.75">
      <c r="C64" s="171"/>
      <c r="D64" s="9"/>
      <c r="E64" s="171"/>
      <c r="F64" s="9"/>
      <c r="G64" s="9"/>
      <c r="H64" s="1064"/>
      <c r="I64" s="9"/>
      <c r="J64" s="1409"/>
      <c r="K64" s="1220"/>
      <c r="L64" s="154"/>
      <c r="M64" s="154"/>
      <c r="N64" s="154"/>
      <c r="O64" s="9"/>
    </row>
    <row r="65" spans="3:15" ht="12.75">
      <c r="C65" s="171"/>
      <c r="D65" s="9"/>
      <c r="E65" s="171"/>
      <c r="F65" s="9"/>
      <c r="G65" s="9"/>
      <c r="H65" s="1064"/>
      <c r="I65" s="9"/>
      <c r="J65" s="1409"/>
      <c r="K65" s="1220"/>
      <c r="L65" s="154"/>
      <c r="M65" s="154"/>
      <c r="N65" s="154"/>
      <c r="O65" s="9"/>
    </row>
    <row r="66" spans="3:15" ht="12.75">
      <c r="C66" s="171"/>
      <c r="D66" s="9"/>
      <c r="E66" s="171"/>
      <c r="F66" s="9"/>
      <c r="G66" s="9"/>
      <c r="H66" s="9"/>
      <c r="I66" s="9"/>
      <c r="J66" s="1409"/>
      <c r="K66" s="1220"/>
      <c r="L66" s="154"/>
      <c r="M66" s="154"/>
      <c r="N66" s="154"/>
      <c r="O66" s="9"/>
    </row>
    <row r="67" spans="3:15" ht="12.75">
      <c r="C67" s="171"/>
      <c r="D67" s="9"/>
      <c r="E67" s="171"/>
      <c r="F67" s="9"/>
      <c r="G67" s="9"/>
      <c r="H67" s="9"/>
      <c r="I67" s="9"/>
      <c r="J67" s="1409"/>
      <c r="K67" s="1220"/>
      <c r="L67" s="154"/>
      <c r="M67" s="154"/>
      <c r="N67" s="154"/>
      <c r="O67" s="9"/>
    </row>
    <row r="68" spans="3:15" ht="12.75">
      <c r="C68" s="9"/>
      <c r="D68" s="9"/>
      <c r="E68" s="9"/>
      <c r="F68" s="9"/>
      <c r="G68" s="9"/>
      <c r="H68" s="9"/>
      <c r="I68" s="9"/>
      <c r="J68" s="1409"/>
      <c r="K68" s="1220"/>
      <c r="L68" s="154"/>
      <c r="M68" s="154"/>
      <c r="N68" s="154"/>
      <c r="O68" s="9"/>
    </row>
    <row r="69" spans="3:15">
      <c r="C69" s="9"/>
      <c r="D69" s="9"/>
      <c r="E69" s="9"/>
      <c r="F69" s="9"/>
      <c r="G69" s="9"/>
      <c r="H69" s="9"/>
      <c r="I69" s="9"/>
      <c r="J69" s="1012"/>
      <c r="K69" s="9"/>
      <c r="L69" s="9"/>
      <c r="M69" s="154"/>
      <c r="N69" s="154"/>
      <c r="O69" s="9"/>
    </row>
    <row r="70" spans="3:15">
      <c r="J70" s="25"/>
      <c r="M70" s="154"/>
    </row>
    <row r="71" spans="3:15">
      <c r="J71" s="1012"/>
      <c r="M71" s="154"/>
    </row>
    <row r="72" spans="3:15">
      <c r="J72" s="1012"/>
    </row>
    <row r="73" spans="3:15">
      <c r="J73" s="1012"/>
    </row>
    <row r="74" spans="3:15">
      <c r="J74" s="101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B51:F51"/>
    <mergeCell ref="B52:I52"/>
    <mergeCell ref="B56:C56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57:N57"/>
    <mergeCell ref="K51:L51"/>
    <mergeCell ref="K52:N52"/>
    <mergeCell ref="K53:O53"/>
    <mergeCell ref="K54:N54"/>
    <mergeCell ref="K55:N55"/>
  </mergeCells>
  <phoneticPr fontId="0" type="noConversion"/>
  <pageMargins left="0.43307086614173201" right="0.23622047244094499" top="0.511811023622047" bottom="0.511811023622047" header="0" footer="0.183070866"/>
  <pageSetup paperSize="145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28" zoomScale="140" zoomScaleNormal="140" workbookViewId="0">
      <selection activeCell="L50" sqref="L50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69" t="s">
        <v>1720</v>
      </c>
      <c r="B1" s="2369"/>
      <c r="C1" s="2369"/>
      <c r="D1" s="2369"/>
      <c r="E1" s="2369"/>
      <c r="F1" s="2369"/>
      <c r="G1" s="2369"/>
      <c r="H1" s="807"/>
      <c r="I1" s="1011" t="s">
        <v>1719</v>
      </c>
    </row>
    <row r="2" spans="1:21" ht="12.75" customHeight="1">
      <c r="A2" s="798"/>
      <c r="B2" s="798"/>
      <c r="C2" s="799"/>
      <c r="D2" s="799"/>
      <c r="E2" s="799"/>
      <c r="F2" s="799"/>
      <c r="G2" s="2370" t="s">
        <v>1745</v>
      </c>
      <c r="H2" s="2370"/>
      <c r="I2" s="2370"/>
    </row>
    <row r="3" spans="1:21" ht="32.25" customHeight="1">
      <c r="A3" s="2372" t="s">
        <v>524</v>
      </c>
      <c r="B3" s="2373"/>
      <c r="C3" s="801" t="s">
        <v>1614</v>
      </c>
      <c r="D3" s="801" t="s">
        <v>1615</v>
      </c>
      <c r="E3" s="801" t="s">
        <v>1616</v>
      </c>
      <c r="F3" s="801" t="s">
        <v>2171</v>
      </c>
      <c r="G3" s="808" t="s">
        <v>1617</v>
      </c>
      <c r="H3" s="808" t="s">
        <v>1618</v>
      </c>
      <c r="I3" s="808" t="s">
        <v>1619</v>
      </c>
    </row>
    <row r="4" spans="1:21" ht="12.75" customHeight="1">
      <c r="A4" s="1178" t="s">
        <v>1770</v>
      </c>
      <c r="B4" s="1178"/>
      <c r="C4" s="800"/>
      <c r="D4" s="800"/>
      <c r="E4" s="800"/>
      <c r="F4" s="800"/>
      <c r="G4" s="2371"/>
      <c r="H4" s="2371"/>
      <c r="I4" s="800"/>
    </row>
    <row r="5" spans="1:21" ht="10.35" customHeight="1">
      <c r="A5" s="2368" t="s">
        <v>1308</v>
      </c>
      <c r="B5" s="802" t="s">
        <v>1620</v>
      </c>
      <c r="C5" s="805" t="s">
        <v>305</v>
      </c>
      <c r="D5" s="805" t="s">
        <v>305</v>
      </c>
      <c r="E5" s="805" t="s">
        <v>305</v>
      </c>
      <c r="F5" s="805" t="s">
        <v>305</v>
      </c>
      <c r="G5" s="809" t="s">
        <v>305</v>
      </c>
      <c r="H5" s="809" t="s">
        <v>305</v>
      </c>
      <c r="I5" s="809" t="s">
        <v>305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68"/>
      <c r="B6" s="803" t="s">
        <v>1621</v>
      </c>
      <c r="C6" s="804">
        <v>9896.84</v>
      </c>
      <c r="D6" s="804">
        <v>11003</v>
      </c>
      <c r="E6" s="804">
        <v>119576.664769</v>
      </c>
      <c r="F6" s="804">
        <v>547.55999999999995</v>
      </c>
      <c r="G6" s="813">
        <v>39314</v>
      </c>
      <c r="H6" s="804">
        <v>5.6907183725365407</v>
      </c>
      <c r="I6" s="804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68"/>
      <c r="B7" s="802" t="s">
        <v>1602</v>
      </c>
      <c r="C7" s="805">
        <v>242.77</v>
      </c>
      <c r="D7" s="805">
        <v>147.04</v>
      </c>
      <c r="E7" s="805">
        <v>1998.02</v>
      </c>
      <c r="F7" s="805">
        <v>0.95973878948873204</v>
      </c>
      <c r="G7" s="805">
        <v>1491.9952036514101</v>
      </c>
      <c r="H7" s="805">
        <v>8.02</v>
      </c>
      <c r="I7" s="805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68"/>
      <c r="B8" s="803" t="s">
        <v>1603</v>
      </c>
      <c r="C8" s="804">
        <v>74108.810278999998</v>
      </c>
      <c r="D8" s="804">
        <v>88258.232780000006</v>
      </c>
      <c r="E8" s="804">
        <v>376009.44743610203</v>
      </c>
      <c r="F8" s="804">
        <v>24424.469698000001</v>
      </c>
      <c r="G8" s="804">
        <v>544687.32999999996</v>
      </c>
      <c r="H8" s="804">
        <v>6.8965517241379199</v>
      </c>
      <c r="I8" s="804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68"/>
      <c r="B9" s="802" t="s">
        <v>1604</v>
      </c>
      <c r="C9" s="805">
        <v>80.209999999999994</v>
      </c>
      <c r="D9" s="805">
        <v>387.02</v>
      </c>
      <c r="E9" s="805">
        <v>197.54</v>
      </c>
      <c r="F9" s="805" t="s">
        <v>305</v>
      </c>
      <c r="G9" s="805">
        <v>696.13</v>
      </c>
      <c r="H9" s="805">
        <v>-0.88</v>
      </c>
      <c r="I9" s="805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68"/>
      <c r="B10" s="803" t="s">
        <v>1605</v>
      </c>
      <c r="C10" s="804">
        <v>262.08999999999997</v>
      </c>
      <c r="D10" s="804">
        <v>2468.6</v>
      </c>
      <c r="E10" s="804">
        <v>5174.21</v>
      </c>
      <c r="F10" s="804" t="s">
        <v>305</v>
      </c>
      <c r="G10" s="804">
        <v>10677.25</v>
      </c>
      <c r="H10" s="804" t="s">
        <v>305</v>
      </c>
      <c r="I10" s="804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68"/>
      <c r="B11" s="802" t="s">
        <v>1606</v>
      </c>
      <c r="C11" s="805">
        <v>5471.82</v>
      </c>
      <c r="D11" s="805">
        <v>11286.11</v>
      </c>
      <c r="E11" s="805">
        <v>48119.83</v>
      </c>
      <c r="F11" s="805">
        <v>457.57</v>
      </c>
      <c r="G11" s="805">
        <v>12153.7</v>
      </c>
      <c r="H11" s="805">
        <v>10.4</v>
      </c>
      <c r="I11" s="805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68"/>
      <c r="B12" s="1139" t="s">
        <v>1607</v>
      </c>
      <c r="C12" s="1140" t="s">
        <v>305</v>
      </c>
      <c r="D12" s="1140" t="s">
        <v>305</v>
      </c>
      <c r="E12" s="1140" t="s">
        <v>305</v>
      </c>
      <c r="F12" s="1140" t="s">
        <v>305</v>
      </c>
      <c r="G12" s="1140" t="s">
        <v>305</v>
      </c>
      <c r="H12" s="1140" t="s">
        <v>305</v>
      </c>
      <c r="I12" s="1140" t="s">
        <v>305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67" t="s">
        <v>1440</v>
      </c>
      <c r="B13" s="802" t="s">
        <v>1620</v>
      </c>
      <c r="C13" s="805" t="s">
        <v>305</v>
      </c>
      <c r="D13" s="805" t="s">
        <v>305</v>
      </c>
      <c r="E13" s="805" t="s">
        <v>305</v>
      </c>
      <c r="F13" s="805" t="s">
        <v>305</v>
      </c>
      <c r="G13" s="805" t="s">
        <v>305</v>
      </c>
      <c r="H13" s="805" t="s">
        <v>305</v>
      </c>
      <c r="I13" s="805" t="s">
        <v>305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68"/>
      <c r="B14" s="803" t="s">
        <v>1621</v>
      </c>
      <c r="C14" s="804">
        <v>9336.61</v>
      </c>
      <c r="D14" s="804">
        <v>12560.4</v>
      </c>
      <c r="E14" s="804">
        <v>123351.81</v>
      </c>
      <c r="F14" s="804">
        <v>827.86</v>
      </c>
      <c r="G14" s="813">
        <v>43166.5</v>
      </c>
      <c r="H14" s="804">
        <v>5.691074747462066</v>
      </c>
      <c r="I14" s="804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68"/>
      <c r="B15" s="802" t="s">
        <v>1602</v>
      </c>
      <c r="C15" s="805">
        <v>163.86</v>
      </c>
      <c r="D15" s="805">
        <v>235.49</v>
      </c>
      <c r="E15" s="805">
        <v>2028.59</v>
      </c>
      <c r="F15" s="805">
        <v>2.0156423365433498</v>
      </c>
      <c r="G15" s="805">
        <v>1454.1948601014999</v>
      </c>
      <c r="H15" s="805">
        <v>7.7170465413716602</v>
      </c>
      <c r="I15" s="805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68"/>
      <c r="B16" s="803" t="s">
        <v>1603</v>
      </c>
      <c r="C16" s="804">
        <v>75756.648623999994</v>
      </c>
      <c r="D16" s="804">
        <v>110820.669819</v>
      </c>
      <c r="E16" s="804">
        <v>377834.90478224203</v>
      </c>
      <c r="F16" s="804">
        <v>17380.026352000001</v>
      </c>
      <c r="G16" s="804">
        <v>585770.63</v>
      </c>
      <c r="H16" s="804">
        <v>6.3648588077095596</v>
      </c>
      <c r="I16" s="804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68"/>
      <c r="B17" s="802" t="s">
        <v>1604</v>
      </c>
      <c r="C17" s="805">
        <v>73.38</v>
      </c>
      <c r="D17" s="805">
        <v>431.48</v>
      </c>
      <c r="E17" s="805">
        <v>190.83</v>
      </c>
      <c r="F17" s="805" t="s">
        <v>305</v>
      </c>
      <c r="G17" s="805">
        <v>984.93</v>
      </c>
      <c r="H17" s="805">
        <v>-1.37</v>
      </c>
      <c r="I17" s="805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68"/>
      <c r="B18" s="803" t="s">
        <v>1605</v>
      </c>
      <c r="C18" s="804">
        <v>252.11</v>
      </c>
      <c r="D18" s="804">
        <v>3126.65</v>
      </c>
      <c r="E18" s="804">
        <v>5475.95</v>
      </c>
      <c r="F18" s="804" t="s">
        <v>305</v>
      </c>
      <c r="G18" s="804">
        <v>11059.5</v>
      </c>
      <c r="H18" s="804" t="s">
        <v>305</v>
      </c>
      <c r="I18" s="804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68"/>
      <c r="B19" s="802" t="s">
        <v>1606</v>
      </c>
      <c r="C19" s="805">
        <v>6638.24</v>
      </c>
      <c r="D19" s="805">
        <v>13168.08</v>
      </c>
      <c r="E19" s="805">
        <v>52271.44</v>
      </c>
      <c r="F19" s="805">
        <v>422.1</v>
      </c>
      <c r="G19" s="805">
        <v>13415.4</v>
      </c>
      <c r="H19" s="805">
        <v>9.48</v>
      </c>
      <c r="I19" s="805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68"/>
      <c r="B20" s="803" t="s">
        <v>1607</v>
      </c>
      <c r="C20" s="804" t="s">
        <v>305</v>
      </c>
      <c r="D20" s="804" t="s">
        <v>305</v>
      </c>
      <c r="E20" s="804" t="s">
        <v>305</v>
      </c>
      <c r="F20" s="804" t="s">
        <v>305</v>
      </c>
      <c r="G20" s="804" t="s">
        <v>305</v>
      </c>
      <c r="H20" s="804" t="s">
        <v>305</v>
      </c>
      <c r="I20" s="804" t="s">
        <v>305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68" t="s">
        <v>1306</v>
      </c>
      <c r="B21" s="802" t="s">
        <v>1620</v>
      </c>
      <c r="C21" s="805" t="s">
        <v>305</v>
      </c>
      <c r="D21" s="805" t="s">
        <v>305</v>
      </c>
      <c r="E21" s="805" t="s">
        <v>305</v>
      </c>
      <c r="F21" s="805" t="s">
        <v>305</v>
      </c>
      <c r="G21" s="805" t="s">
        <v>305</v>
      </c>
      <c r="H21" s="805" t="s">
        <v>305</v>
      </c>
      <c r="I21" s="805" t="s">
        <v>305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68"/>
      <c r="B22" s="803" t="s">
        <v>1621</v>
      </c>
      <c r="C22" s="804">
        <v>9509</v>
      </c>
      <c r="D22" s="804">
        <v>17541</v>
      </c>
      <c r="E22" s="804">
        <v>125063.492252</v>
      </c>
      <c r="F22" s="804">
        <v>591.75</v>
      </c>
      <c r="G22" s="813">
        <v>43440.800000000003</v>
      </c>
      <c r="H22" s="804">
        <v>5.63</v>
      </c>
      <c r="I22" s="804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68"/>
      <c r="B23" s="802" t="s">
        <v>1602</v>
      </c>
      <c r="C23" s="805">
        <v>128.00804599424399</v>
      </c>
      <c r="D23" s="805">
        <v>257.99876058545601</v>
      </c>
      <c r="E23" s="805">
        <v>2086.1703891706102</v>
      </c>
      <c r="F23" s="805">
        <v>0.1</v>
      </c>
      <c r="G23" s="805">
        <v>1522.5</v>
      </c>
      <c r="H23" s="805">
        <v>9.1130992384798706</v>
      </c>
      <c r="I23" s="805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68"/>
      <c r="B24" s="803" t="s">
        <v>1603</v>
      </c>
      <c r="C24" s="804">
        <v>90428.132058999996</v>
      </c>
      <c r="D24" s="804">
        <v>131677.58743300001</v>
      </c>
      <c r="E24" s="804">
        <v>403012.547496963</v>
      </c>
      <c r="F24" s="804">
        <v>2678.538278</v>
      </c>
      <c r="G24" s="804">
        <v>576983.89</v>
      </c>
      <c r="H24" s="804">
        <v>4.8559946419999998</v>
      </c>
      <c r="I24" s="804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68"/>
      <c r="B25" s="802" t="s">
        <v>1604</v>
      </c>
      <c r="C25" s="805">
        <v>73.03</v>
      </c>
      <c r="D25" s="805">
        <v>583.42999999999995</v>
      </c>
      <c r="E25" s="805">
        <v>194.27</v>
      </c>
      <c r="F25" s="805" t="s">
        <v>305</v>
      </c>
      <c r="G25" s="805">
        <v>844.74</v>
      </c>
      <c r="H25" s="805">
        <v>-1.72</v>
      </c>
      <c r="I25" s="805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68"/>
      <c r="B26" s="803" t="s">
        <v>1605</v>
      </c>
      <c r="C26" s="804">
        <v>290.73134499999998</v>
      </c>
      <c r="D26" s="804">
        <v>3853.441773</v>
      </c>
      <c r="E26" s="804">
        <v>5965.4555360000004</v>
      </c>
      <c r="F26" s="804" t="s">
        <v>305</v>
      </c>
      <c r="G26" s="804">
        <v>10871.569513</v>
      </c>
      <c r="H26" s="804" t="s">
        <v>305</v>
      </c>
      <c r="I26" s="804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68"/>
      <c r="B27" s="802" t="s">
        <v>1606</v>
      </c>
      <c r="C27" s="805">
        <v>6577.68</v>
      </c>
      <c r="D27" s="805">
        <v>15056.75</v>
      </c>
      <c r="E27" s="805">
        <v>55636.93</v>
      </c>
      <c r="F27" s="805">
        <v>515.38</v>
      </c>
      <c r="G27" s="805">
        <v>13493.3</v>
      </c>
      <c r="H27" s="805">
        <v>8.3699999999999992</v>
      </c>
      <c r="I27" s="805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68"/>
      <c r="B28" s="803" t="s">
        <v>1607</v>
      </c>
      <c r="C28" s="804" t="s">
        <v>305</v>
      </c>
      <c r="D28" s="804" t="s">
        <v>305</v>
      </c>
      <c r="E28" s="804" t="s">
        <v>305</v>
      </c>
      <c r="F28" s="804" t="s">
        <v>305</v>
      </c>
      <c r="G28" s="804" t="s">
        <v>305</v>
      </c>
      <c r="H28" s="804" t="s">
        <v>305</v>
      </c>
      <c r="I28" s="804" t="s">
        <v>305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68" t="s">
        <v>1307</v>
      </c>
      <c r="B29" s="802" t="s">
        <v>1620</v>
      </c>
      <c r="C29" s="805" t="s">
        <v>305</v>
      </c>
      <c r="D29" s="805" t="s">
        <v>305</v>
      </c>
      <c r="E29" s="805" t="s">
        <v>305</v>
      </c>
      <c r="F29" s="805" t="s">
        <v>305</v>
      </c>
      <c r="G29" s="805" t="s">
        <v>305</v>
      </c>
      <c r="H29" s="805" t="s">
        <v>305</v>
      </c>
      <c r="I29" s="805" t="s">
        <v>305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68"/>
      <c r="B30" s="803" t="s">
        <v>1621</v>
      </c>
      <c r="C30" s="804">
        <v>9612</v>
      </c>
      <c r="D30" s="804">
        <v>17914</v>
      </c>
      <c r="E30" s="804">
        <v>127950.28930600001</v>
      </c>
      <c r="F30" s="804">
        <v>540.14</v>
      </c>
      <c r="G30" s="813">
        <v>46391.4</v>
      </c>
      <c r="H30" s="804">
        <v>5.5576564158239528</v>
      </c>
      <c r="I30" s="804">
        <v>84.805357999999998</v>
      </c>
      <c r="L30" s="806"/>
      <c r="M30" s="806"/>
      <c r="N30" s="1405"/>
      <c r="O30" s="285"/>
      <c r="P30" s="806"/>
      <c r="Q30" s="662"/>
      <c r="R30" s="662"/>
      <c r="S30" s="662"/>
      <c r="T30" s="662"/>
      <c r="U30" s="662"/>
    </row>
    <row r="31" spans="1:21" ht="10.35" customHeight="1">
      <c r="A31" s="2368"/>
      <c r="B31" s="802" t="s">
        <v>1602</v>
      </c>
      <c r="C31" s="805">
        <v>184.545048290154</v>
      </c>
      <c r="D31" s="805">
        <v>280.84065359006303</v>
      </c>
      <c r="E31" s="805">
        <v>2093.0302379783998</v>
      </c>
      <c r="F31" s="805">
        <v>1.0631915979250199</v>
      </c>
      <c r="G31" s="805">
        <v>1342.63092073249</v>
      </c>
      <c r="H31" s="805">
        <v>7.4240027002150804</v>
      </c>
      <c r="I31" s="805">
        <v>73.778304773222402</v>
      </c>
      <c r="L31" s="1405"/>
      <c r="M31" s="1405"/>
      <c r="N31" s="1405"/>
      <c r="O31" s="1405"/>
      <c r="P31" s="806"/>
      <c r="Q31" s="662"/>
      <c r="R31" s="662"/>
      <c r="S31" s="662"/>
      <c r="T31" s="662"/>
      <c r="U31" s="662"/>
    </row>
    <row r="32" spans="1:21" ht="10.35" customHeight="1">
      <c r="A32" s="2368"/>
      <c r="B32" s="803" t="s">
        <v>1603</v>
      </c>
      <c r="C32" s="804">
        <v>95536.826480999996</v>
      </c>
      <c r="D32" s="804">
        <v>126957.09951499999</v>
      </c>
      <c r="E32" s="804">
        <v>382895.82396268198</v>
      </c>
      <c r="F32" s="804">
        <v>11833.885022</v>
      </c>
      <c r="G32" s="804">
        <v>611074.97</v>
      </c>
      <c r="H32" s="804">
        <v>5.5934816119999997</v>
      </c>
      <c r="I32" s="804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68"/>
      <c r="B33" s="802" t="s">
        <v>1604</v>
      </c>
      <c r="C33" s="805">
        <v>63.54</v>
      </c>
      <c r="D33" s="805">
        <v>571.94000000000005</v>
      </c>
      <c r="E33" s="805">
        <v>194.66</v>
      </c>
      <c r="F33" s="805" t="s">
        <v>305</v>
      </c>
      <c r="G33" s="805">
        <v>912.36</v>
      </c>
      <c r="H33" s="805">
        <v>-0.16</v>
      </c>
      <c r="I33" s="805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68"/>
      <c r="B34" s="803" t="s">
        <v>1605</v>
      </c>
      <c r="C34" s="804">
        <v>392.07993900000002</v>
      </c>
      <c r="D34" s="804">
        <v>3625.4375209999998</v>
      </c>
      <c r="E34" s="804">
        <v>6497.5564100000001</v>
      </c>
      <c r="F34" s="804" t="s">
        <v>305</v>
      </c>
      <c r="G34" s="804">
        <v>10243.334715999999</v>
      </c>
      <c r="H34" s="804" t="s">
        <v>305</v>
      </c>
      <c r="I34" s="804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68"/>
      <c r="B35" s="802" t="s">
        <v>1606</v>
      </c>
      <c r="C35" s="805" t="s">
        <v>305</v>
      </c>
      <c r="D35" s="805" t="s">
        <v>305</v>
      </c>
      <c r="E35" s="805" t="s">
        <v>305</v>
      </c>
      <c r="F35" s="805" t="s">
        <v>305</v>
      </c>
      <c r="G35" s="805" t="s">
        <v>305</v>
      </c>
      <c r="H35" s="805" t="s">
        <v>305</v>
      </c>
      <c r="I35" s="805" t="s">
        <v>305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68"/>
      <c r="B36" s="803" t="s">
        <v>1607</v>
      </c>
      <c r="C36" s="804" t="s">
        <v>305</v>
      </c>
      <c r="D36" s="804" t="s">
        <v>305</v>
      </c>
      <c r="E36" s="804" t="s">
        <v>305</v>
      </c>
      <c r="F36" s="804" t="s">
        <v>305</v>
      </c>
      <c r="G36" s="804" t="s">
        <v>305</v>
      </c>
      <c r="H36" s="804" t="s">
        <v>305</v>
      </c>
      <c r="I36" s="804" t="s">
        <v>305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613" t="s">
        <v>2210</v>
      </c>
      <c r="B37" s="1613"/>
      <c r="C37" s="1614"/>
      <c r="D37" s="1614"/>
      <c r="E37" s="1614"/>
      <c r="F37" s="1614"/>
      <c r="G37" s="1614"/>
      <c r="H37" s="1614"/>
      <c r="I37" s="1615"/>
    </row>
    <row r="38" spans="1:21" ht="10.35" customHeight="1">
      <c r="A38" s="2367" t="s">
        <v>1308</v>
      </c>
      <c r="B38" s="802" t="s">
        <v>1620</v>
      </c>
      <c r="C38" s="809" t="s">
        <v>305</v>
      </c>
      <c r="D38" s="809" t="s">
        <v>305</v>
      </c>
      <c r="E38" s="809" t="s">
        <v>305</v>
      </c>
      <c r="F38" s="809" t="s">
        <v>305</v>
      </c>
      <c r="G38" s="809" t="s">
        <v>305</v>
      </c>
      <c r="H38" s="809" t="s">
        <v>305</v>
      </c>
      <c r="I38" s="809" t="s">
        <v>305</v>
      </c>
      <c r="J38" s="769"/>
    </row>
    <row r="39" spans="1:21" ht="10.35" customHeight="1">
      <c r="A39" s="2368"/>
      <c r="B39" s="803" t="s">
        <v>1621</v>
      </c>
      <c r="C39" s="813">
        <v>11022</v>
      </c>
      <c r="D39" s="813">
        <v>16351.3</v>
      </c>
      <c r="E39" s="813">
        <v>129174.92948538013</v>
      </c>
      <c r="F39" s="813">
        <v>671.5</v>
      </c>
      <c r="G39" s="813">
        <v>46199.8</v>
      </c>
      <c r="H39" s="813">
        <v>5.5</v>
      </c>
      <c r="I39" s="813">
        <v>85.004221000000001</v>
      </c>
    </row>
    <row r="40" spans="1:21" ht="10.35" customHeight="1">
      <c r="A40" s="2368"/>
      <c r="B40" s="802" t="s">
        <v>1602</v>
      </c>
      <c r="C40" s="809">
        <v>269.54196286652802</v>
      </c>
      <c r="D40" s="809">
        <v>319.318330239131</v>
      </c>
      <c r="E40" s="809">
        <v>2129.8143048055899</v>
      </c>
      <c r="F40" s="809">
        <v>0.02</v>
      </c>
      <c r="G40" s="809">
        <v>1296.7866705890301</v>
      </c>
      <c r="H40" s="809">
        <v>4.9707565320558302</v>
      </c>
      <c r="I40" s="805">
        <v>74.117643034055703</v>
      </c>
    </row>
    <row r="41" spans="1:21" ht="10.35" customHeight="1">
      <c r="A41" s="2368"/>
      <c r="B41" s="803" t="s">
        <v>1603</v>
      </c>
      <c r="C41" s="813">
        <v>102714.29324499999</v>
      </c>
      <c r="D41" s="813">
        <v>147470.29233900001</v>
      </c>
      <c r="E41" s="813">
        <v>381057.59914133803</v>
      </c>
      <c r="F41" s="813">
        <v>9554.7920250000006</v>
      </c>
      <c r="G41" s="813">
        <v>635362.77</v>
      </c>
      <c r="H41" s="813">
        <v>5.0752688170000004</v>
      </c>
      <c r="I41" s="813">
        <v>74.090156451612899</v>
      </c>
    </row>
    <row r="42" spans="1:21" ht="10.35" customHeight="1">
      <c r="A42" s="2368"/>
      <c r="B42" s="802" t="s">
        <v>1604</v>
      </c>
      <c r="C42" s="809">
        <v>63.01</v>
      </c>
      <c r="D42" s="809">
        <v>616.85</v>
      </c>
      <c r="E42" s="809">
        <v>205.05</v>
      </c>
      <c r="F42" s="809" t="s">
        <v>305</v>
      </c>
      <c r="G42" s="805">
        <v>1016.75</v>
      </c>
      <c r="H42" s="805">
        <v>0.23</v>
      </c>
      <c r="I42" s="809">
        <v>15.41</v>
      </c>
    </row>
    <row r="43" spans="1:21" ht="10.35" customHeight="1">
      <c r="A43" s="2368"/>
      <c r="B43" s="803" t="s">
        <v>1605</v>
      </c>
      <c r="C43" s="804" t="s">
        <v>305</v>
      </c>
      <c r="D43" s="804" t="s">
        <v>305</v>
      </c>
      <c r="E43" s="804" t="s">
        <v>305</v>
      </c>
      <c r="F43" s="804" t="s">
        <v>305</v>
      </c>
      <c r="G43" s="804" t="s">
        <v>305</v>
      </c>
      <c r="H43" s="804" t="s">
        <v>305</v>
      </c>
      <c r="I43" s="804" t="s">
        <v>305</v>
      </c>
    </row>
    <row r="44" spans="1:21" ht="10.35" customHeight="1">
      <c r="A44" s="2368"/>
      <c r="B44" s="802" t="s">
        <v>1606</v>
      </c>
      <c r="C44" s="809" t="s">
        <v>305</v>
      </c>
      <c r="D44" s="809" t="s">
        <v>305</v>
      </c>
      <c r="E44" s="809" t="s">
        <v>305</v>
      </c>
      <c r="F44" s="809" t="s">
        <v>305</v>
      </c>
      <c r="G44" s="809" t="s">
        <v>305</v>
      </c>
      <c r="H44" s="809" t="s">
        <v>305</v>
      </c>
      <c r="I44" s="805" t="s">
        <v>305</v>
      </c>
    </row>
    <row r="45" spans="1:21" ht="10.35" customHeight="1">
      <c r="A45" s="2368"/>
      <c r="B45" s="803" t="s">
        <v>1607</v>
      </c>
      <c r="C45" s="804" t="s">
        <v>305</v>
      </c>
      <c r="D45" s="804" t="s">
        <v>305</v>
      </c>
      <c r="E45" s="804" t="s">
        <v>305</v>
      </c>
      <c r="F45" s="804" t="s">
        <v>305</v>
      </c>
      <c r="G45" s="804" t="s">
        <v>305</v>
      </c>
      <c r="H45" s="804" t="s">
        <v>305</v>
      </c>
      <c r="I45" s="804" t="s">
        <v>305</v>
      </c>
    </row>
    <row r="46" spans="1:21" ht="10.35" customHeight="1">
      <c r="A46" s="2368" t="s">
        <v>1440</v>
      </c>
      <c r="B46" s="802" t="s">
        <v>1620</v>
      </c>
      <c r="C46" s="809" t="s">
        <v>305</v>
      </c>
      <c r="D46" s="809" t="s">
        <v>305</v>
      </c>
      <c r="E46" s="809" t="s">
        <v>305</v>
      </c>
      <c r="F46" s="809" t="s">
        <v>305</v>
      </c>
      <c r="G46" s="809" t="s">
        <v>305</v>
      </c>
      <c r="H46" s="809" t="s">
        <v>305</v>
      </c>
      <c r="I46" s="809" t="s">
        <v>305</v>
      </c>
    </row>
    <row r="47" spans="1:21" ht="10.35" customHeight="1">
      <c r="A47" s="2368"/>
      <c r="B47" s="803" t="s">
        <v>1621</v>
      </c>
      <c r="C47" s="813">
        <v>13676.6</v>
      </c>
      <c r="D47" s="813">
        <v>20690</v>
      </c>
      <c r="E47" s="813">
        <v>134467.74379336645</v>
      </c>
      <c r="F47" s="813">
        <v>1092.17</v>
      </c>
      <c r="G47" s="813">
        <v>46153.9</v>
      </c>
      <c r="H47" s="813">
        <v>5.55</v>
      </c>
      <c r="I47" s="813">
        <v>85.729936708860706</v>
      </c>
    </row>
    <row r="48" spans="1:21" ht="10.35" customHeight="1">
      <c r="A48" s="2368"/>
      <c r="B48" s="802" t="s">
        <v>1602</v>
      </c>
      <c r="C48" s="809">
        <v>192.90185856036001</v>
      </c>
      <c r="D48" s="809">
        <v>340.27337576626297</v>
      </c>
      <c r="E48" s="809">
        <v>2114.7479595678601</v>
      </c>
      <c r="F48" s="809">
        <v>1.9771225385058301E-2</v>
      </c>
      <c r="G48" s="809">
        <v>975.24754940315302</v>
      </c>
      <c r="H48" s="809">
        <v>6.8675233383951104</v>
      </c>
      <c r="I48" s="805">
        <v>74.975264901960799</v>
      </c>
    </row>
    <row r="49" spans="1:9" ht="10.35" customHeight="1">
      <c r="A49" s="2368"/>
      <c r="B49" s="803" t="s">
        <v>1603</v>
      </c>
      <c r="C49" s="813">
        <v>106791.54408599999</v>
      </c>
      <c r="D49" s="813">
        <v>166885.88650399999</v>
      </c>
      <c r="E49" s="813">
        <v>401773.59483193699</v>
      </c>
      <c r="F49" s="813">
        <v>5120.409431</v>
      </c>
      <c r="G49" s="813">
        <v>633614.31000000006</v>
      </c>
      <c r="H49" s="813">
        <v>5.0147492629999997</v>
      </c>
      <c r="I49" s="813">
        <v>74.957247540983602</v>
      </c>
    </row>
    <row r="50" spans="1:9" ht="10.35" customHeight="1">
      <c r="A50" s="2368"/>
      <c r="B50" s="802" t="s">
        <v>1604</v>
      </c>
      <c r="C50" s="809">
        <v>85.77</v>
      </c>
      <c r="D50" s="809">
        <v>800.83</v>
      </c>
      <c r="E50" s="809">
        <v>199.64</v>
      </c>
      <c r="F50" s="809" t="s">
        <v>305</v>
      </c>
      <c r="G50" s="805">
        <v>805.81</v>
      </c>
      <c r="H50" s="805">
        <v>0.54</v>
      </c>
      <c r="I50" s="809">
        <v>15.4</v>
      </c>
    </row>
    <row r="51" spans="1:9" ht="10.35" customHeight="1">
      <c r="A51" s="2368"/>
      <c r="B51" s="803" t="s">
        <v>1605</v>
      </c>
      <c r="C51" s="804" t="s">
        <v>305</v>
      </c>
      <c r="D51" s="804" t="s">
        <v>305</v>
      </c>
      <c r="E51" s="804" t="s">
        <v>305</v>
      </c>
      <c r="F51" s="804" t="s">
        <v>305</v>
      </c>
      <c r="G51" s="804" t="s">
        <v>305</v>
      </c>
      <c r="H51" s="804" t="s">
        <v>305</v>
      </c>
      <c r="I51" s="804" t="s">
        <v>305</v>
      </c>
    </row>
    <row r="52" spans="1:9" ht="10.35" customHeight="1">
      <c r="A52" s="2368"/>
      <c r="B52" s="802" t="s">
        <v>1606</v>
      </c>
      <c r="C52" s="809" t="s">
        <v>305</v>
      </c>
      <c r="D52" s="809" t="s">
        <v>305</v>
      </c>
      <c r="E52" s="809" t="s">
        <v>305</v>
      </c>
      <c r="F52" s="809" t="s">
        <v>305</v>
      </c>
      <c r="G52" s="809" t="s">
        <v>305</v>
      </c>
      <c r="H52" s="809" t="s">
        <v>305</v>
      </c>
      <c r="I52" s="809" t="s">
        <v>305</v>
      </c>
    </row>
    <row r="53" spans="1:9" ht="10.35" customHeight="1">
      <c r="A53" s="2368"/>
      <c r="B53" s="803" t="s">
        <v>1607</v>
      </c>
      <c r="C53" s="804" t="s">
        <v>305</v>
      </c>
      <c r="D53" s="804" t="s">
        <v>305</v>
      </c>
      <c r="E53" s="804" t="s">
        <v>305</v>
      </c>
      <c r="F53" s="804" t="s">
        <v>305</v>
      </c>
      <c r="G53" s="804" t="s">
        <v>305</v>
      </c>
      <c r="H53" s="804" t="s">
        <v>305</v>
      </c>
      <c r="I53" s="804" t="s">
        <v>305</v>
      </c>
    </row>
    <row r="54" spans="1:9" ht="7.5" customHeight="1">
      <c r="A54" s="1616"/>
      <c r="B54" s="1616"/>
      <c r="C54" s="1617"/>
      <c r="D54" s="1617"/>
      <c r="E54" s="1617"/>
      <c r="F54" s="1617"/>
      <c r="G54" s="1617"/>
      <c r="H54" s="1617"/>
      <c r="I54" s="1617"/>
    </row>
    <row r="55" spans="1:9">
      <c r="A55" s="806" t="s">
        <v>16</v>
      </c>
      <c r="B55" s="806" t="s">
        <v>1362</v>
      </c>
      <c r="C55" s="1405"/>
      <c r="D55" s="285"/>
      <c r="E55" s="806" t="s">
        <v>1465</v>
      </c>
      <c r="F55" s="1405"/>
      <c r="G55" s="1405"/>
      <c r="H55" s="1405"/>
      <c r="I55" s="1405"/>
    </row>
    <row r="56" spans="1:9">
      <c r="A56" s="1405"/>
      <c r="B56" s="1405"/>
      <c r="C56" s="1405"/>
      <c r="D56" s="1405"/>
      <c r="E56" s="806" t="s">
        <v>408</v>
      </c>
      <c r="F56" s="1405"/>
      <c r="G56" s="1405"/>
      <c r="H56" s="1405"/>
      <c r="I56" s="1405"/>
    </row>
    <row r="57" spans="1:9">
      <c r="G57" s="1405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45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6"/>
  <sheetViews>
    <sheetView topLeftCell="A22" zoomScale="120" zoomScaleNormal="120" workbookViewId="0">
      <selection activeCell="L44" sqref="L44"/>
    </sheetView>
  </sheetViews>
  <sheetFormatPr defaultRowHeight="12.75"/>
  <cols>
    <col min="1" max="1" width="7.85546875" style="1405" customWidth="1"/>
    <col min="2" max="2" width="8.5703125" style="1405" customWidth="1"/>
    <col min="3" max="3" width="7.42578125" style="1405" bestFit="1" customWidth="1"/>
    <col min="4" max="4" width="8.28515625" style="1405" customWidth="1"/>
    <col min="5" max="5" width="7.7109375" style="1405" customWidth="1"/>
    <col min="6" max="7" width="7.85546875" style="1405" customWidth="1"/>
    <col min="8" max="8" width="8.42578125" style="1405" customWidth="1"/>
    <col min="9" max="9" width="8.7109375" style="1405" customWidth="1"/>
    <col min="10" max="10" width="7.140625" style="1405" customWidth="1"/>
    <col min="11" max="11" width="5.42578125" style="1405" customWidth="1"/>
    <col min="12" max="13" width="6.28515625" style="1405" customWidth="1"/>
    <col min="14" max="14" width="5.42578125" style="1405" customWidth="1"/>
    <col min="15" max="15" width="8" style="1405" customWidth="1"/>
    <col min="16" max="16" width="7.5703125" style="1405" customWidth="1"/>
    <col min="17" max="17" width="7" style="1405" customWidth="1"/>
    <col min="18" max="18" width="6.85546875" style="1405" customWidth="1"/>
    <col min="19" max="19" width="8.140625" style="1405" customWidth="1"/>
    <col min="20" max="20" width="7.85546875" style="1405" customWidth="1"/>
    <col min="21" max="21" width="10.140625" style="1405" bestFit="1" customWidth="1"/>
    <col min="22" max="16384" width="9.140625" style="1405"/>
  </cols>
  <sheetData>
    <row r="1" spans="1:20" ht="18.75">
      <c r="F1" s="2387" t="s">
        <v>2233</v>
      </c>
      <c r="G1" s="2387"/>
      <c r="H1" s="2387"/>
      <c r="I1" s="2387"/>
      <c r="J1" s="776" t="s">
        <v>2234</v>
      </c>
      <c r="K1" s="776"/>
      <c r="L1" s="776"/>
      <c r="M1" s="776"/>
      <c r="N1" s="776"/>
      <c r="O1" s="776"/>
    </row>
    <row r="2" spans="1:20" ht="13.5" customHeight="1">
      <c r="A2" s="766"/>
      <c r="B2" s="767"/>
      <c r="C2" s="767"/>
      <c r="D2" s="774"/>
      <c r="E2" s="774"/>
      <c r="F2" s="774"/>
      <c r="G2" s="774"/>
      <c r="H2" s="774"/>
      <c r="I2" s="768"/>
      <c r="J2" s="787"/>
      <c r="K2" s="787"/>
      <c r="L2" s="787"/>
      <c r="M2" s="768"/>
      <c r="N2" s="768"/>
      <c r="O2" s="768"/>
      <c r="P2" s="767"/>
      <c r="Q2" s="767"/>
      <c r="R2" s="2333" t="s">
        <v>2386</v>
      </c>
      <c r="S2" s="2388"/>
      <c r="T2" s="2388"/>
    </row>
    <row r="3" spans="1:20" ht="15">
      <c r="A3" s="769"/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2389" t="s">
        <v>24</v>
      </c>
      <c r="S3" s="2390"/>
      <c r="T3" s="2390"/>
    </row>
    <row r="4" spans="1:20" ht="14.25" customHeight="1">
      <c r="A4" s="2354" t="s">
        <v>524</v>
      </c>
      <c r="B4" s="2374" t="s">
        <v>2267</v>
      </c>
      <c r="C4" s="2375"/>
      <c r="D4" s="2375"/>
      <c r="E4" s="2375"/>
      <c r="F4" s="2376"/>
      <c r="G4" s="2377" t="s">
        <v>2235</v>
      </c>
      <c r="H4" s="2378"/>
      <c r="I4" s="2379"/>
      <c r="J4" s="2380" t="s">
        <v>2236</v>
      </c>
      <c r="K4" s="2375"/>
      <c r="L4" s="2375"/>
      <c r="M4" s="2376"/>
      <c r="N4" s="2381" t="s">
        <v>2286</v>
      </c>
      <c r="O4" s="2382" t="s">
        <v>2271</v>
      </c>
      <c r="P4" s="2382" t="s">
        <v>2270</v>
      </c>
      <c r="Q4" s="2382" t="s">
        <v>2237</v>
      </c>
      <c r="R4" s="2343" t="s">
        <v>2295</v>
      </c>
      <c r="S4" s="2382" t="s">
        <v>2272</v>
      </c>
      <c r="T4" s="2384" t="s">
        <v>524</v>
      </c>
    </row>
    <row r="5" spans="1:20" ht="68.25" customHeight="1">
      <c r="A5" s="2355"/>
      <c r="B5" s="1221" t="s">
        <v>2238</v>
      </c>
      <c r="C5" s="1222" t="s">
        <v>2239</v>
      </c>
      <c r="D5" s="1701" t="s">
        <v>2240</v>
      </c>
      <c r="E5" s="1254" t="s">
        <v>2268</v>
      </c>
      <c r="F5" s="1223" t="s">
        <v>2241</v>
      </c>
      <c r="G5" s="1700" t="s">
        <v>2242</v>
      </c>
      <c r="H5" s="1700" t="s">
        <v>2243</v>
      </c>
      <c r="I5" s="1700" t="s">
        <v>2244</v>
      </c>
      <c r="J5" s="1700" t="s">
        <v>2245</v>
      </c>
      <c r="K5" s="1258" t="s">
        <v>2269</v>
      </c>
      <c r="L5" s="1224" t="s">
        <v>2246</v>
      </c>
      <c r="M5" s="1269" t="s">
        <v>2294</v>
      </c>
      <c r="N5" s="2010"/>
      <c r="O5" s="2010"/>
      <c r="P5" s="2010"/>
      <c r="Q5" s="2010"/>
      <c r="R5" s="2344"/>
      <c r="S5" s="2383"/>
      <c r="T5" s="2385"/>
    </row>
    <row r="6" spans="1:20" ht="11.25" customHeight="1">
      <c r="A6" s="2356"/>
      <c r="B6" s="1713">
        <v>1</v>
      </c>
      <c r="C6" s="1225">
        <v>2</v>
      </c>
      <c r="D6" s="1225">
        <v>3</v>
      </c>
      <c r="E6" s="1225">
        <v>4</v>
      </c>
      <c r="F6" s="1225">
        <v>5</v>
      </c>
      <c r="G6" s="1225">
        <v>6</v>
      </c>
      <c r="H6" s="1225">
        <v>7</v>
      </c>
      <c r="I6" s="1225">
        <v>8</v>
      </c>
      <c r="J6" s="1225">
        <v>9</v>
      </c>
      <c r="K6" s="1225">
        <v>10</v>
      </c>
      <c r="L6" s="1225">
        <v>11</v>
      </c>
      <c r="M6" s="1225">
        <v>12</v>
      </c>
      <c r="N6" s="1225">
        <v>13</v>
      </c>
      <c r="O6" s="1225">
        <v>14</v>
      </c>
      <c r="P6" s="1225">
        <v>15</v>
      </c>
      <c r="Q6" s="1225">
        <v>16</v>
      </c>
      <c r="R6" s="1225">
        <v>17</v>
      </c>
      <c r="S6" s="1225">
        <v>18</v>
      </c>
      <c r="T6" s="2386"/>
    </row>
    <row r="7" spans="1:20" ht="12.6" customHeight="1">
      <c r="A7" s="1545" t="s">
        <v>1467</v>
      </c>
      <c r="B7" s="1546">
        <v>5778.93</v>
      </c>
      <c r="C7" s="1546">
        <v>25743.57</v>
      </c>
      <c r="D7" s="1546">
        <v>23651.01</v>
      </c>
      <c r="E7" s="1546">
        <v>5900.44</v>
      </c>
      <c r="F7" s="1546">
        <f>E7+D7+C7+B7</f>
        <v>61073.95</v>
      </c>
      <c r="G7" s="1546">
        <v>3372.6</v>
      </c>
      <c r="H7" s="1546">
        <v>11661.04</v>
      </c>
      <c r="I7" s="1546">
        <f>H7+G7</f>
        <v>15033.640000000001</v>
      </c>
      <c r="J7" s="1546">
        <v>1902.61</v>
      </c>
      <c r="K7" s="1546">
        <v>23.77</v>
      </c>
      <c r="L7" s="1546">
        <v>344.05</v>
      </c>
      <c r="M7" s="1546">
        <f>J7+K7+L7</f>
        <v>2270.4299999999998</v>
      </c>
      <c r="N7" s="1546">
        <f>86.61+71.78+248.27</f>
        <v>406.65999999999997</v>
      </c>
      <c r="O7" s="1546">
        <f>N7+M7+I7+F7</f>
        <v>78784.679999999993</v>
      </c>
      <c r="P7" s="1546">
        <v>32254.38</v>
      </c>
      <c r="Q7" s="1546">
        <v>20001.87</v>
      </c>
      <c r="R7" s="1546">
        <v>46530.3</v>
      </c>
      <c r="S7" s="1546">
        <v>287704.5</v>
      </c>
      <c r="T7" s="1544" t="s">
        <v>1467</v>
      </c>
    </row>
    <row r="8" spans="1:20" ht="12.6" customHeight="1">
      <c r="A8" s="1592" t="s">
        <v>1596</v>
      </c>
      <c r="B8" s="1230">
        <v>10372.989999999998</v>
      </c>
      <c r="C8" s="1230">
        <v>26930.83</v>
      </c>
      <c r="D8" s="1230">
        <v>27234.410000000003</v>
      </c>
      <c r="E8" s="1230">
        <v>5043.63</v>
      </c>
      <c r="F8" s="1230">
        <v>69581.86</v>
      </c>
      <c r="G8" s="1230">
        <v>3202.32</v>
      </c>
      <c r="H8" s="1230">
        <v>15495.210000000001</v>
      </c>
      <c r="I8" s="1230">
        <v>18697.530000000002</v>
      </c>
      <c r="J8" s="1230">
        <v>1366.67</v>
      </c>
      <c r="K8" s="1230">
        <v>47.739999999999995</v>
      </c>
      <c r="L8" s="1230">
        <v>471.64</v>
      </c>
      <c r="M8" s="1230">
        <v>1886.05</v>
      </c>
      <c r="N8" s="1230">
        <v>176.94</v>
      </c>
      <c r="O8" s="1230">
        <v>90342.38</v>
      </c>
      <c r="P8" s="1230">
        <v>40402.92</v>
      </c>
      <c r="Q8" s="1230">
        <v>24896.420000000002</v>
      </c>
      <c r="R8" s="1230">
        <v>49939.46</v>
      </c>
      <c r="S8" s="1230">
        <v>287704.45</v>
      </c>
      <c r="T8" s="1593" t="s">
        <v>1596</v>
      </c>
    </row>
    <row r="9" spans="1:20" ht="12.6" customHeight="1">
      <c r="A9" s="1231" t="s">
        <v>1691</v>
      </c>
      <c r="B9" s="1232">
        <v>8491.06</v>
      </c>
      <c r="C9" s="1232">
        <v>16756.449999999997</v>
      </c>
      <c r="D9" s="1232">
        <v>13843.539999999999</v>
      </c>
      <c r="E9" s="1232">
        <v>4590.7800000000007</v>
      </c>
      <c r="F9" s="1232">
        <v>43681.829999999994</v>
      </c>
      <c r="G9" s="1232">
        <v>3009.92</v>
      </c>
      <c r="H9" s="1232">
        <v>18637.46</v>
      </c>
      <c r="I9" s="1232">
        <v>21647.38</v>
      </c>
      <c r="J9" s="1232">
        <v>1341.26</v>
      </c>
      <c r="K9" s="1232">
        <v>29.64</v>
      </c>
      <c r="L9" s="1232">
        <v>249.21999999999997</v>
      </c>
      <c r="M9" s="1232">
        <v>1620.1200000000001</v>
      </c>
      <c r="N9" s="1232">
        <v>178.43</v>
      </c>
      <c r="O9" s="1232">
        <v>67127.759999999995</v>
      </c>
      <c r="P9" s="1232">
        <v>52699.41</v>
      </c>
      <c r="Q9" s="1232">
        <v>28105.119999999999</v>
      </c>
      <c r="R9" s="1232">
        <v>14428.349999999999</v>
      </c>
      <c r="S9" s="1232">
        <v>302132.96999999997</v>
      </c>
      <c r="T9" s="1236" t="s">
        <v>1691</v>
      </c>
    </row>
    <row r="10" spans="1:20" ht="12.6" customHeight="1">
      <c r="A10" s="1233" t="s">
        <v>1760</v>
      </c>
      <c r="B10" s="1226">
        <f>SUM(B11:B22)</f>
        <v>9550.2400000000016</v>
      </c>
      <c r="C10" s="1226">
        <f t="shared" ref="C10:N10" si="0">SUM(C11:C22)</f>
        <v>42794.799999999988</v>
      </c>
      <c r="D10" s="1226">
        <f t="shared" si="0"/>
        <v>31518.37999999999</v>
      </c>
      <c r="E10" s="1226">
        <f t="shared" si="0"/>
        <v>7403.1</v>
      </c>
      <c r="F10" s="1226">
        <f t="shared" si="0"/>
        <v>91266.52</v>
      </c>
      <c r="G10" s="1226">
        <f t="shared" si="0"/>
        <v>1963.54</v>
      </c>
      <c r="H10" s="1226">
        <f t="shared" si="0"/>
        <v>16981.04</v>
      </c>
      <c r="I10" s="1226">
        <f t="shared" si="0"/>
        <v>18944.579999999998</v>
      </c>
      <c r="J10" s="1226">
        <f t="shared" si="0"/>
        <v>1566</v>
      </c>
      <c r="K10" s="1226">
        <f t="shared" si="0"/>
        <v>22.839999999999996</v>
      </c>
      <c r="L10" s="1226">
        <f t="shared" si="0"/>
        <v>180.29999999999998</v>
      </c>
      <c r="M10" s="1226">
        <f t="shared" si="0"/>
        <v>1769.1399999999999</v>
      </c>
      <c r="N10" s="1226">
        <f t="shared" si="0"/>
        <v>208.04</v>
      </c>
      <c r="O10" s="1226">
        <f>SUM(O11:O22)</f>
        <v>112188.27999999997</v>
      </c>
      <c r="P10" s="1226">
        <f t="shared" ref="P10" si="1">SUM(P11:P22)</f>
        <v>70174.210000000006</v>
      </c>
      <c r="Q10" s="1226">
        <f>SUM(Q11:Q22)</f>
        <v>35087.29</v>
      </c>
      <c r="R10" s="1226">
        <f t="shared" ref="R10" si="2">SUM(R11:R22)</f>
        <v>42014.069999999992</v>
      </c>
      <c r="S10" s="1226">
        <f>S22</f>
        <v>344143.94</v>
      </c>
      <c r="T10" s="1239" t="s">
        <v>1760</v>
      </c>
    </row>
    <row r="11" spans="1:20" ht="12.6" customHeight="1">
      <c r="A11" s="1227" t="s">
        <v>603</v>
      </c>
      <c r="B11" s="1228">
        <v>808.43</v>
      </c>
      <c r="C11" s="1228">
        <v>3028.48</v>
      </c>
      <c r="D11" s="1228">
        <v>2560.14</v>
      </c>
      <c r="E11" s="1228">
        <v>626.16</v>
      </c>
      <c r="F11" s="1228">
        <f t="shared" ref="F11:F38" si="3">E11+D11+C11+B11</f>
        <v>7023.21</v>
      </c>
      <c r="G11" s="1228">
        <v>177.47</v>
      </c>
      <c r="H11" s="1228">
        <v>1270.1600000000001</v>
      </c>
      <c r="I11" s="1228">
        <f>G11+H11</f>
        <v>1447.63</v>
      </c>
      <c r="J11" s="1228">
        <v>163.26</v>
      </c>
      <c r="K11" s="1228">
        <v>10.78</v>
      </c>
      <c r="L11" s="1228">
        <v>46.11</v>
      </c>
      <c r="M11" s="1228">
        <f>L11+K11+J11</f>
        <v>220.14999999999998</v>
      </c>
      <c r="N11" s="1228">
        <f>9.47+5.16</f>
        <v>14.63</v>
      </c>
      <c r="O11" s="1228">
        <f>N11+M11+I11+F11</f>
        <v>8705.6200000000008</v>
      </c>
      <c r="P11" s="1228">
        <v>4997.3900000000003</v>
      </c>
      <c r="Q11" s="1228">
        <v>2243.52</v>
      </c>
      <c r="R11" s="1228">
        <f t="shared" ref="R11:R22" si="4">O11-P11</f>
        <v>3708.2300000000005</v>
      </c>
      <c r="S11" s="1228">
        <v>305838.09999999998</v>
      </c>
      <c r="T11" s="1238" t="s">
        <v>603</v>
      </c>
    </row>
    <row r="12" spans="1:20" ht="12.6" customHeight="1">
      <c r="A12" s="1229" t="s">
        <v>604</v>
      </c>
      <c r="B12" s="1230">
        <v>869.3</v>
      </c>
      <c r="C12" s="1230">
        <v>3056.75</v>
      </c>
      <c r="D12" s="1230">
        <v>2384.9499999999998</v>
      </c>
      <c r="E12" s="1230">
        <v>606.48</v>
      </c>
      <c r="F12" s="1230">
        <f t="shared" si="3"/>
        <v>6917.4800000000005</v>
      </c>
      <c r="G12" s="1230">
        <v>202.77</v>
      </c>
      <c r="H12" s="1230">
        <v>1548.32</v>
      </c>
      <c r="I12" s="1230">
        <f>G12+H12</f>
        <v>1751.09</v>
      </c>
      <c r="J12" s="1230">
        <v>133.59</v>
      </c>
      <c r="K12" s="1230">
        <v>3</v>
      </c>
      <c r="L12" s="1230">
        <v>25.63</v>
      </c>
      <c r="M12" s="1230">
        <f>J12+K12+L12</f>
        <v>162.22</v>
      </c>
      <c r="N12" s="1230">
        <f>9.13+12.37</f>
        <v>21.5</v>
      </c>
      <c r="O12" s="1230">
        <f>F12+I12+M12+N12</f>
        <v>8852.2899999999991</v>
      </c>
      <c r="P12" s="1230">
        <v>5105.4799999999996</v>
      </c>
      <c r="Q12" s="1230">
        <v>3746.81</v>
      </c>
      <c r="R12" s="1230">
        <f t="shared" si="4"/>
        <v>3746.8099999999995</v>
      </c>
      <c r="S12" s="1230">
        <f>R12+S11</f>
        <v>309584.90999999997</v>
      </c>
      <c r="T12" s="1237" t="s">
        <v>604</v>
      </c>
    </row>
    <row r="13" spans="1:20" ht="12.6" customHeight="1">
      <c r="A13" s="1234" t="s">
        <v>598</v>
      </c>
      <c r="B13" s="1228">
        <v>693.78</v>
      </c>
      <c r="C13" s="1228">
        <v>3941.16</v>
      </c>
      <c r="D13" s="1228">
        <v>2850.54</v>
      </c>
      <c r="E13" s="1228">
        <v>695.7</v>
      </c>
      <c r="F13" s="1228">
        <f t="shared" si="3"/>
        <v>8181.1799999999994</v>
      </c>
      <c r="G13" s="1228">
        <v>218.15</v>
      </c>
      <c r="H13" s="1228">
        <v>1763.91</v>
      </c>
      <c r="I13" s="1228">
        <f>H13+G13</f>
        <v>1982.0600000000002</v>
      </c>
      <c r="J13" s="1228">
        <v>179.93</v>
      </c>
      <c r="K13" s="1228">
        <v>1.95</v>
      </c>
      <c r="L13" s="1228">
        <v>26.21</v>
      </c>
      <c r="M13" s="1228">
        <f>L13+K13+J13</f>
        <v>208.09</v>
      </c>
      <c r="N13" s="1228">
        <f>11.17+5.12</f>
        <v>16.29</v>
      </c>
      <c r="O13" s="1228">
        <f t="shared" ref="O13:O18" si="5">N13+M13+I13+F13</f>
        <v>10387.619999999999</v>
      </c>
      <c r="P13" s="1228">
        <v>6180.35</v>
      </c>
      <c r="Q13" s="1228">
        <v>3004.23</v>
      </c>
      <c r="R13" s="1228">
        <f t="shared" si="4"/>
        <v>4207.2699999999986</v>
      </c>
      <c r="S13" s="1228">
        <f>S12+R13</f>
        <v>313792.18</v>
      </c>
      <c r="T13" s="1240" t="s">
        <v>598</v>
      </c>
    </row>
    <row r="14" spans="1:20" ht="12.6" customHeight="1">
      <c r="A14" s="1235" t="s">
        <v>605</v>
      </c>
      <c r="B14" s="1230">
        <v>979.94</v>
      </c>
      <c r="C14" s="1230">
        <v>3409.89</v>
      </c>
      <c r="D14" s="1230">
        <v>2482.9299999999998</v>
      </c>
      <c r="E14" s="1230">
        <v>530.54</v>
      </c>
      <c r="F14" s="1230">
        <f t="shared" si="3"/>
        <v>7403.2999999999993</v>
      </c>
      <c r="G14" s="1230">
        <v>192.73</v>
      </c>
      <c r="H14" s="1230">
        <v>1457.79</v>
      </c>
      <c r="I14" s="1230">
        <f>G14+H14</f>
        <v>1650.52</v>
      </c>
      <c r="J14" s="1230">
        <v>156.94999999999999</v>
      </c>
      <c r="K14" s="1230">
        <v>1.02</v>
      </c>
      <c r="L14" s="1230">
        <v>22.86</v>
      </c>
      <c r="M14" s="1230">
        <f>J14+K14+L14</f>
        <v>180.82999999999998</v>
      </c>
      <c r="N14" s="1230">
        <f>8.99+6.23</f>
        <v>15.22</v>
      </c>
      <c r="O14" s="1230">
        <f t="shared" si="5"/>
        <v>9249.869999999999</v>
      </c>
      <c r="P14" s="1230">
        <v>5215.33</v>
      </c>
      <c r="Q14" s="1230">
        <v>2543.5700000000002</v>
      </c>
      <c r="R14" s="1230">
        <f t="shared" si="4"/>
        <v>4034.5399999999991</v>
      </c>
      <c r="S14" s="1230">
        <f>S13+R14</f>
        <v>317826.71999999997</v>
      </c>
      <c r="T14" s="1241" t="s">
        <v>605</v>
      </c>
    </row>
    <row r="15" spans="1:20" ht="12.6" customHeight="1">
      <c r="A15" s="1234" t="s">
        <v>606</v>
      </c>
      <c r="B15" s="1228">
        <v>713.11</v>
      </c>
      <c r="C15" s="1228">
        <v>3696.99</v>
      </c>
      <c r="D15" s="1228">
        <v>2613.79</v>
      </c>
      <c r="E15" s="1228">
        <v>611.45000000000005</v>
      </c>
      <c r="F15" s="1228">
        <f t="shared" si="3"/>
        <v>7635.3399999999992</v>
      </c>
      <c r="G15" s="1228">
        <v>201.27</v>
      </c>
      <c r="H15" s="1228">
        <v>1469.62</v>
      </c>
      <c r="I15" s="1228">
        <f>H15+G15</f>
        <v>1670.8899999999999</v>
      </c>
      <c r="J15" s="1228">
        <v>170.32</v>
      </c>
      <c r="K15" s="1228">
        <v>2.2000000000000002</v>
      </c>
      <c r="L15" s="1228">
        <v>36.19</v>
      </c>
      <c r="M15" s="1228">
        <f>L15+K15+J15</f>
        <v>208.70999999999998</v>
      </c>
      <c r="N15" s="1228">
        <f>10.34+8.99+13.36</f>
        <v>32.69</v>
      </c>
      <c r="O15" s="1228">
        <f t="shared" si="5"/>
        <v>9547.6299999999992</v>
      </c>
      <c r="P15" s="1228">
        <v>6145.06</v>
      </c>
      <c r="Q15" s="1228">
        <v>3000.15</v>
      </c>
      <c r="R15" s="1228">
        <f t="shared" si="4"/>
        <v>3402.5699999999988</v>
      </c>
      <c r="S15" s="1228">
        <f>R15+S14</f>
        <v>321229.28999999998</v>
      </c>
      <c r="T15" s="1240" t="s">
        <v>606</v>
      </c>
    </row>
    <row r="16" spans="1:20" ht="12.6" customHeight="1">
      <c r="A16" s="1235" t="s">
        <v>599</v>
      </c>
      <c r="B16" s="1230">
        <v>913.02</v>
      </c>
      <c r="C16" s="1230">
        <v>3016.41</v>
      </c>
      <c r="D16" s="1230">
        <v>2166.8200000000002</v>
      </c>
      <c r="E16" s="1230">
        <v>476.81</v>
      </c>
      <c r="F16" s="1230">
        <f t="shared" si="3"/>
        <v>6573.0599999999995</v>
      </c>
      <c r="G16" s="1230">
        <v>198.36</v>
      </c>
      <c r="H16" s="1230">
        <v>1292.8399999999999</v>
      </c>
      <c r="I16" s="1230">
        <f>H16+G16</f>
        <v>1491.1999999999998</v>
      </c>
      <c r="J16" s="1230">
        <v>144.83000000000001</v>
      </c>
      <c r="K16" s="1230">
        <v>1.78</v>
      </c>
      <c r="L16" s="1230">
        <v>7.14</v>
      </c>
      <c r="M16" s="1230">
        <f>L16+K16+J16</f>
        <v>153.75</v>
      </c>
      <c r="N16" s="1230">
        <f>9.43+5.73</f>
        <v>15.16</v>
      </c>
      <c r="O16" s="1230">
        <f t="shared" si="5"/>
        <v>8233.17</v>
      </c>
      <c r="P16" s="1230">
        <v>6790.97</v>
      </c>
      <c r="Q16" s="1230">
        <v>3014.61</v>
      </c>
      <c r="R16" s="1230">
        <f t="shared" si="4"/>
        <v>1442.1999999999998</v>
      </c>
      <c r="S16" s="1230">
        <f>R16+S15</f>
        <v>322671.49</v>
      </c>
      <c r="T16" s="1241" t="s">
        <v>599</v>
      </c>
    </row>
    <row r="17" spans="1:22" ht="12.6" customHeight="1">
      <c r="A17" s="1234" t="s">
        <v>607</v>
      </c>
      <c r="B17" s="1228">
        <v>858.06</v>
      </c>
      <c r="C17" s="1228">
        <v>4160.4399999999996</v>
      </c>
      <c r="D17" s="1228">
        <v>2981.14</v>
      </c>
      <c r="E17" s="1228">
        <v>709.29</v>
      </c>
      <c r="F17" s="1228">
        <f t="shared" si="3"/>
        <v>8708.9299999999985</v>
      </c>
      <c r="G17" s="1228">
        <v>212.74</v>
      </c>
      <c r="H17" s="1228">
        <v>1581.44</v>
      </c>
      <c r="I17" s="1228">
        <f t="shared" ref="I17:I41" si="6">G17+H17</f>
        <v>1794.18</v>
      </c>
      <c r="J17" s="1228">
        <v>119.84</v>
      </c>
      <c r="K17" s="1228">
        <v>0.9</v>
      </c>
      <c r="L17" s="1228">
        <v>4.88</v>
      </c>
      <c r="M17" s="1228">
        <f t="shared" ref="M17:M41" si="7">J17+K17+L17</f>
        <v>125.62</v>
      </c>
      <c r="N17" s="1228">
        <f>10.21+5.96</f>
        <v>16.170000000000002</v>
      </c>
      <c r="O17" s="1228">
        <f t="shared" si="5"/>
        <v>10644.899999999998</v>
      </c>
      <c r="P17" s="1228">
        <v>5429.8</v>
      </c>
      <c r="Q17" s="1228">
        <v>2645.14</v>
      </c>
      <c r="R17" s="1228">
        <f t="shared" si="4"/>
        <v>5215.0999999999976</v>
      </c>
      <c r="S17" s="1228">
        <f>R17+S16</f>
        <v>327886.58999999997</v>
      </c>
      <c r="T17" s="1240" t="s">
        <v>607</v>
      </c>
    </row>
    <row r="18" spans="1:22" ht="12.6" customHeight="1">
      <c r="A18" s="1235" t="s">
        <v>608</v>
      </c>
      <c r="B18" s="1230">
        <v>698.76</v>
      </c>
      <c r="C18" s="1230">
        <v>3813.49</v>
      </c>
      <c r="D18" s="1230">
        <v>2752.24</v>
      </c>
      <c r="E18" s="1230">
        <v>630.55999999999995</v>
      </c>
      <c r="F18" s="1230">
        <f t="shared" si="3"/>
        <v>7895.0499999999993</v>
      </c>
      <c r="G18" s="1230">
        <v>0</v>
      </c>
      <c r="H18" s="1230">
        <v>1581.44</v>
      </c>
      <c r="I18" s="1230">
        <f t="shared" si="6"/>
        <v>1581.44</v>
      </c>
      <c r="J18" s="1230">
        <v>104.68</v>
      </c>
      <c r="K18" s="1230">
        <v>0.15</v>
      </c>
      <c r="L18" s="1230">
        <v>1.26</v>
      </c>
      <c r="M18" s="1230">
        <f t="shared" si="7"/>
        <v>106.09000000000002</v>
      </c>
      <c r="N18" s="1230">
        <f>10.21+13.77</f>
        <v>23.98</v>
      </c>
      <c r="O18" s="1230">
        <f t="shared" si="5"/>
        <v>9606.56</v>
      </c>
      <c r="P18" s="1230">
        <v>5997.36</v>
      </c>
      <c r="Q18" s="1230">
        <v>2757.29</v>
      </c>
      <c r="R18" s="1230">
        <f t="shared" si="4"/>
        <v>3609.2</v>
      </c>
      <c r="S18" s="1230">
        <f t="shared" ref="S18:S21" si="8">R18+S17</f>
        <v>331495.78999999998</v>
      </c>
      <c r="T18" s="1241" t="s">
        <v>608</v>
      </c>
    </row>
    <row r="19" spans="1:22" ht="12.6" customHeight="1">
      <c r="A19" s="1234" t="s">
        <v>600</v>
      </c>
      <c r="B19" s="1228">
        <v>723.47</v>
      </c>
      <c r="C19" s="1228">
        <v>4440.25</v>
      </c>
      <c r="D19" s="1228">
        <v>2941.37</v>
      </c>
      <c r="E19" s="1228">
        <v>798.46</v>
      </c>
      <c r="F19" s="1228">
        <f t="shared" si="3"/>
        <v>8903.5499999999993</v>
      </c>
      <c r="G19" s="1228">
        <v>207.82</v>
      </c>
      <c r="H19" s="1228">
        <v>1528.86</v>
      </c>
      <c r="I19" s="1228">
        <f t="shared" si="6"/>
        <v>1736.6799999999998</v>
      </c>
      <c r="J19" s="1228">
        <v>106.06</v>
      </c>
      <c r="K19" s="1228">
        <v>0</v>
      </c>
      <c r="L19" s="1228">
        <v>4.16</v>
      </c>
      <c r="M19" s="1228">
        <f t="shared" si="7"/>
        <v>110.22</v>
      </c>
      <c r="N19" s="1228">
        <f>8.52+3.57</f>
        <v>12.09</v>
      </c>
      <c r="O19" s="1228">
        <f>F19+I19+M19+N19</f>
        <v>10762.539999999999</v>
      </c>
      <c r="P19" s="1228">
        <v>6871.27</v>
      </c>
      <c r="Q19" s="1228">
        <v>3714.38</v>
      </c>
      <c r="R19" s="1228">
        <f t="shared" si="4"/>
        <v>3891.2699999999986</v>
      </c>
      <c r="S19" s="1228">
        <f t="shared" si="8"/>
        <v>335387.06</v>
      </c>
      <c r="T19" s="1240" t="s">
        <v>600</v>
      </c>
    </row>
    <row r="20" spans="1:22" ht="12.6" customHeight="1">
      <c r="A20" s="1235" t="s">
        <v>609</v>
      </c>
      <c r="B20" s="1230">
        <v>257.56</v>
      </c>
      <c r="C20" s="1230">
        <v>2368.46</v>
      </c>
      <c r="D20" s="1230">
        <v>1624.35</v>
      </c>
      <c r="E20" s="1230">
        <v>432.56</v>
      </c>
      <c r="F20" s="1230">
        <f t="shared" si="3"/>
        <v>4682.93</v>
      </c>
      <c r="G20" s="1230">
        <v>150.66999999999999</v>
      </c>
      <c r="H20" s="1230">
        <v>970.85</v>
      </c>
      <c r="I20" s="1230">
        <f t="shared" si="6"/>
        <v>1121.52</v>
      </c>
      <c r="J20" s="1230">
        <v>71.540000000000006</v>
      </c>
      <c r="K20" s="1230">
        <v>0</v>
      </c>
      <c r="L20" s="1230">
        <v>2.15</v>
      </c>
      <c r="M20" s="1230">
        <f t="shared" si="7"/>
        <v>73.690000000000012</v>
      </c>
      <c r="N20" s="1230">
        <f>8.25+0.48</f>
        <v>8.73</v>
      </c>
      <c r="O20" s="1230">
        <f>N20+M20+I20+F20</f>
        <v>5886.8700000000008</v>
      </c>
      <c r="P20" s="1230">
        <v>4360.88</v>
      </c>
      <c r="Q20" s="1230">
        <v>2293.16</v>
      </c>
      <c r="R20" s="1230">
        <f t="shared" si="4"/>
        <v>1525.9900000000007</v>
      </c>
      <c r="S20" s="1230">
        <f t="shared" si="8"/>
        <v>336913.05</v>
      </c>
      <c r="T20" s="1241" t="s">
        <v>609</v>
      </c>
    </row>
    <row r="21" spans="1:22" ht="12.6" customHeight="1">
      <c r="A21" s="1234" t="s">
        <v>610</v>
      </c>
      <c r="B21" s="1228">
        <v>474.81</v>
      </c>
      <c r="C21" s="1228">
        <v>3049.1</v>
      </c>
      <c r="D21" s="1228">
        <v>2269.0100000000002</v>
      </c>
      <c r="E21" s="1228">
        <v>547.91</v>
      </c>
      <c r="F21" s="1228">
        <f t="shared" si="3"/>
        <v>6340.8300000000008</v>
      </c>
      <c r="G21" s="1228">
        <v>175.48</v>
      </c>
      <c r="H21" s="1228">
        <v>1058.6099999999999</v>
      </c>
      <c r="I21" s="1228">
        <f t="shared" si="6"/>
        <v>1234.0899999999999</v>
      </c>
      <c r="J21" s="1228">
        <v>88.08</v>
      </c>
      <c r="K21" s="1228">
        <v>0</v>
      </c>
      <c r="L21" s="1228">
        <v>2.35</v>
      </c>
      <c r="M21" s="1228">
        <f t="shared" si="7"/>
        <v>90.429999999999993</v>
      </c>
      <c r="N21" s="1228">
        <f>10.24+5.16</f>
        <v>15.4</v>
      </c>
      <c r="O21" s="1228">
        <f>N21+M21+I21+F21</f>
        <v>7680.7500000000009</v>
      </c>
      <c r="P21" s="1228">
        <v>5023.41</v>
      </c>
      <c r="Q21" s="1228">
        <v>2631.77</v>
      </c>
      <c r="R21" s="1228">
        <f t="shared" si="4"/>
        <v>2657.3400000000011</v>
      </c>
      <c r="S21" s="1228">
        <f t="shared" si="8"/>
        <v>339570.39</v>
      </c>
      <c r="T21" s="1240" t="s">
        <v>610</v>
      </c>
    </row>
    <row r="22" spans="1:22" ht="12.6" customHeight="1">
      <c r="A22" s="1235" t="s">
        <v>601</v>
      </c>
      <c r="B22" s="1230">
        <v>1560</v>
      </c>
      <c r="C22" s="1230">
        <v>4813.38</v>
      </c>
      <c r="D22" s="1230">
        <v>3891.1</v>
      </c>
      <c r="E22" s="1230">
        <v>737.18</v>
      </c>
      <c r="F22" s="1230">
        <f t="shared" si="3"/>
        <v>11001.66</v>
      </c>
      <c r="G22" s="1230">
        <v>26.08</v>
      </c>
      <c r="H22" s="1230">
        <v>1457.2</v>
      </c>
      <c r="I22" s="1230">
        <f t="shared" si="6"/>
        <v>1483.28</v>
      </c>
      <c r="J22" s="1230">
        <v>126.92</v>
      </c>
      <c r="K22" s="1230">
        <v>1.06</v>
      </c>
      <c r="L22" s="1230">
        <v>1.36</v>
      </c>
      <c r="M22" s="1230">
        <f t="shared" si="7"/>
        <v>129.34</v>
      </c>
      <c r="N22" s="1230">
        <f>10.19+5.99</f>
        <v>16.18</v>
      </c>
      <c r="O22" s="1230">
        <f>N22+M22+I22+F22</f>
        <v>12630.46</v>
      </c>
      <c r="P22" s="1230">
        <v>8056.91</v>
      </c>
      <c r="Q22" s="1230">
        <v>3492.66</v>
      </c>
      <c r="R22" s="1230">
        <f t="shared" si="4"/>
        <v>4573.5499999999993</v>
      </c>
      <c r="S22" s="1230">
        <f>R22+S21</f>
        <v>344143.94</v>
      </c>
      <c r="T22" s="1241" t="s">
        <v>601</v>
      </c>
    </row>
    <row r="23" spans="1:22" ht="12.6" customHeight="1">
      <c r="A23" s="1244" t="s">
        <v>2473</v>
      </c>
      <c r="B23" s="1232">
        <f>SUM(B24:B35)</f>
        <v>9366.43</v>
      </c>
      <c r="C23" s="1232">
        <f t="shared" ref="C23:R23" si="9">SUM(C24:C35)</f>
        <v>53146.05</v>
      </c>
      <c r="D23" s="1232">
        <f t="shared" si="9"/>
        <v>32999.51</v>
      </c>
      <c r="E23" s="1232">
        <f t="shared" si="9"/>
        <v>8140.11</v>
      </c>
      <c r="F23" s="1232">
        <f t="shared" si="9"/>
        <v>103652.1</v>
      </c>
      <c r="G23" s="1232">
        <f t="shared" si="9"/>
        <v>476.28000000000003</v>
      </c>
      <c r="H23" s="1232">
        <f t="shared" si="9"/>
        <v>2742.31</v>
      </c>
      <c r="I23" s="1232">
        <f t="shared" si="9"/>
        <v>3218.59</v>
      </c>
      <c r="J23" s="1232">
        <f t="shared" si="9"/>
        <v>866.29000000000008</v>
      </c>
      <c r="K23" s="1232">
        <f t="shared" si="9"/>
        <v>15.03</v>
      </c>
      <c r="L23" s="1232">
        <f t="shared" si="9"/>
        <v>101.71</v>
      </c>
      <c r="M23" s="1232">
        <f t="shared" si="9"/>
        <v>983.03000000000009</v>
      </c>
      <c r="N23" s="1232">
        <f t="shared" si="9"/>
        <v>208.49</v>
      </c>
      <c r="O23" s="1232">
        <f t="shared" si="9"/>
        <v>108062.20999999999</v>
      </c>
      <c r="P23" s="1232">
        <f t="shared" si="9"/>
        <v>88155.1</v>
      </c>
      <c r="Q23" s="1232">
        <f t="shared" si="9"/>
        <v>40008.300000000003</v>
      </c>
      <c r="R23" s="1232">
        <f t="shared" si="9"/>
        <v>19907.11</v>
      </c>
      <c r="S23" s="1232">
        <f>S35</f>
        <v>364051.04999999993</v>
      </c>
      <c r="T23" s="1251" t="s">
        <v>2473</v>
      </c>
      <c r="V23" s="854"/>
    </row>
    <row r="24" spans="1:22" ht="12.6" customHeight="1">
      <c r="A24" s="1235" t="s">
        <v>603</v>
      </c>
      <c r="B24" s="1230">
        <v>570.22</v>
      </c>
      <c r="C24" s="1230">
        <v>2484.9699999999998</v>
      </c>
      <c r="D24" s="1230">
        <v>1785.26</v>
      </c>
      <c r="E24" s="1230">
        <v>409.84</v>
      </c>
      <c r="F24" s="1230">
        <f t="shared" si="3"/>
        <v>5250.29</v>
      </c>
      <c r="G24" s="1230">
        <v>16.16</v>
      </c>
      <c r="H24" s="1230">
        <v>29.94</v>
      </c>
      <c r="I24" s="1230">
        <f t="shared" si="6"/>
        <v>46.1</v>
      </c>
      <c r="J24" s="1230">
        <v>57.09</v>
      </c>
      <c r="K24" s="1230">
        <v>0.38</v>
      </c>
      <c r="L24" s="1230">
        <v>2.0099999999999998</v>
      </c>
      <c r="M24" s="1230">
        <f t="shared" si="7"/>
        <v>59.480000000000004</v>
      </c>
      <c r="N24" s="1230">
        <f>8.17+0.97</f>
        <v>9.14</v>
      </c>
      <c r="O24" s="1230">
        <f t="shared" ref="O24:O35" si="10">N24+M24+I24+F24</f>
        <v>5365.01</v>
      </c>
      <c r="P24" s="1230">
        <v>3261.01</v>
      </c>
      <c r="Q24" s="1230">
        <v>2092.21</v>
      </c>
      <c r="R24" s="1230">
        <f t="shared" ref="R24:R37" si="11">O24-P24</f>
        <v>2104</v>
      </c>
      <c r="S24" s="1230">
        <f>S22+R24</f>
        <v>346247.94</v>
      </c>
      <c r="T24" s="1241" t="s">
        <v>603</v>
      </c>
    </row>
    <row r="25" spans="1:22" ht="12.6" customHeight="1">
      <c r="A25" s="1234" t="s">
        <v>604</v>
      </c>
      <c r="B25" s="1228">
        <v>691.98</v>
      </c>
      <c r="C25" s="1228">
        <v>4909.1499999999996</v>
      </c>
      <c r="D25" s="1228">
        <v>3278.11</v>
      </c>
      <c r="E25" s="1228">
        <v>746.5</v>
      </c>
      <c r="F25" s="1228">
        <f t="shared" si="3"/>
        <v>9625.74</v>
      </c>
      <c r="G25" s="1228">
        <v>32.72</v>
      </c>
      <c r="H25" s="1228">
        <v>122.9</v>
      </c>
      <c r="I25" s="1228">
        <f t="shared" si="6"/>
        <v>155.62</v>
      </c>
      <c r="J25" s="1228">
        <v>84.74</v>
      </c>
      <c r="K25" s="1228">
        <v>0.35</v>
      </c>
      <c r="L25" s="1228">
        <v>1.57</v>
      </c>
      <c r="M25" s="1228">
        <f t="shared" si="7"/>
        <v>86.659999999999982</v>
      </c>
      <c r="N25" s="1228">
        <f>10.59+12.89</f>
        <v>23.48</v>
      </c>
      <c r="O25" s="1228">
        <f t="shared" si="10"/>
        <v>9891.5</v>
      </c>
      <c r="P25" s="1228">
        <v>6262.9</v>
      </c>
      <c r="Q25" s="1228">
        <v>2998.87</v>
      </c>
      <c r="R25" s="1228">
        <f t="shared" si="11"/>
        <v>3628.6000000000004</v>
      </c>
      <c r="S25" s="1228">
        <f t="shared" ref="S25:S35" si="12">S24+R25</f>
        <v>349876.54</v>
      </c>
      <c r="T25" s="1240" t="s">
        <v>604</v>
      </c>
    </row>
    <row r="26" spans="1:22" ht="12.6" customHeight="1">
      <c r="A26" s="1235" t="s">
        <v>598</v>
      </c>
      <c r="B26" s="1230">
        <v>1015.11</v>
      </c>
      <c r="C26" s="1230">
        <v>5622.78</v>
      </c>
      <c r="D26" s="1230">
        <v>3554.91</v>
      </c>
      <c r="E26" s="1230">
        <v>775.67</v>
      </c>
      <c r="F26" s="1230">
        <f t="shared" si="3"/>
        <v>10968.470000000001</v>
      </c>
      <c r="G26" s="1230">
        <v>48.34</v>
      </c>
      <c r="H26" s="1230">
        <v>191.42</v>
      </c>
      <c r="I26" s="1230">
        <f t="shared" si="6"/>
        <v>239.76</v>
      </c>
      <c r="J26" s="1230">
        <v>117.26</v>
      </c>
      <c r="K26" s="1230">
        <v>0.03</v>
      </c>
      <c r="L26" s="1230">
        <v>5.58</v>
      </c>
      <c r="M26" s="1230">
        <f t="shared" si="7"/>
        <v>122.87</v>
      </c>
      <c r="N26" s="1230">
        <f>14.05+4.01</f>
        <v>18.060000000000002</v>
      </c>
      <c r="O26" s="1230">
        <f t="shared" si="10"/>
        <v>11349.160000000002</v>
      </c>
      <c r="P26" s="1230">
        <v>8523.6</v>
      </c>
      <c r="Q26" s="1230">
        <v>3511.39</v>
      </c>
      <c r="R26" s="1230">
        <f t="shared" si="11"/>
        <v>2825.5600000000013</v>
      </c>
      <c r="S26" s="1230">
        <f t="shared" si="12"/>
        <v>352702.1</v>
      </c>
      <c r="T26" s="1241" t="s">
        <v>598</v>
      </c>
    </row>
    <row r="27" spans="1:22" ht="12.6" customHeight="1">
      <c r="A27" s="1234" t="s">
        <v>605</v>
      </c>
      <c r="B27" s="1228">
        <v>628.05999999999995</v>
      </c>
      <c r="C27" s="1228">
        <v>4437.3500000000004</v>
      </c>
      <c r="D27" s="1228">
        <v>2724.27</v>
      </c>
      <c r="E27" s="1228">
        <v>612.28</v>
      </c>
      <c r="F27" s="1228">
        <f t="shared" si="3"/>
        <v>8401.9600000000009</v>
      </c>
      <c r="G27" s="1228">
        <v>40.81</v>
      </c>
      <c r="H27" s="1228">
        <v>178.4</v>
      </c>
      <c r="I27" s="1228">
        <f t="shared" si="6"/>
        <v>219.21</v>
      </c>
      <c r="J27" s="1228">
        <v>80.52</v>
      </c>
      <c r="K27" s="1228">
        <v>0.69</v>
      </c>
      <c r="L27" s="1228">
        <v>5.14</v>
      </c>
      <c r="M27" s="1228">
        <f t="shared" si="7"/>
        <v>86.35</v>
      </c>
      <c r="N27" s="1228">
        <f>10.76+4.43</f>
        <v>15.19</v>
      </c>
      <c r="O27" s="1228">
        <f t="shared" si="10"/>
        <v>8722.7100000000009</v>
      </c>
      <c r="P27" s="1228">
        <v>7956.19</v>
      </c>
      <c r="Q27" s="1228">
        <v>3209.61</v>
      </c>
      <c r="R27" s="1228">
        <f t="shared" si="11"/>
        <v>766.52000000000135</v>
      </c>
      <c r="S27" s="1228">
        <f t="shared" si="12"/>
        <v>353468.62</v>
      </c>
      <c r="T27" s="1240" t="s">
        <v>605</v>
      </c>
    </row>
    <row r="28" spans="1:22" ht="12.6" customHeight="1">
      <c r="A28" s="1235" t="s">
        <v>606</v>
      </c>
      <c r="B28" s="1230">
        <v>606.20000000000005</v>
      </c>
      <c r="C28" s="1230">
        <v>4555.96</v>
      </c>
      <c r="D28" s="1230">
        <v>2747.55</v>
      </c>
      <c r="E28" s="1230">
        <v>638.17999999999995</v>
      </c>
      <c r="F28" s="1230">
        <f t="shared" si="3"/>
        <v>8547.8900000000012</v>
      </c>
      <c r="G28" s="1230">
        <v>42.03</v>
      </c>
      <c r="H28" s="1230">
        <v>221.28</v>
      </c>
      <c r="I28" s="1230">
        <f t="shared" si="6"/>
        <v>263.31</v>
      </c>
      <c r="J28" s="1230">
        <v>100.17</v>
      </c>
      <c r="K28" s="1230">
        <v>0.39</v>
      </c>
      <c r="L28" s="1230">
        <v>3.61</v>
      </c>
      <c r="M28" s="1230">
        <f t="shared" si="7"/>
        <v>104.17</v>
      </c>
      <c r="N28" s="1230">
        <f>11.18+14.84</f>
        <v>26.02</v>
      </c>
      <c r="O28" s="1230">
        <f t="shared" si="10"/>
        <v>8941.3900000000012</v>
      </c>
      <c r="P28" s="1230">
        <v>8240.2900000000009</v>
      </c>
      <c r="Q28" s="1230">
        <v>3499.85</v>
      </c>
      <c r="R28" s="1230">
        <f t="shared" si="11"/>
        <v>701.10000000000036</v>
      </c>
      <c r="S28" s="1230">
        <f t="shared" si="12"/>
        <v>354169.72</v>
      </c>
      <c r="T28" s="1241" t="s">
        <v>606</v>
      </c>
    </row>
    <row r="29" spans="1:22" ht="12.6" customHeight="1">
      <c r="A29" s="1234" t="s">
        <v>599</v>
      </c>
      <c r="B29" s="1228">
        <v>661.48</v>
      </c>
      <c r="C29" s="1228">
        <v>3693.25</v>
      </c>
      <c r="D29" s="1228">
        <v>2156.42</v>
      </c>
      <c r="E29" s="1228">
        <v>510.11</v>
      </c>
      <c r="F29" s="1228">
        <f t="shared" si="3"/>
        <v>7021.26</v>
      </c>
      <c r="G29" s="1228">
        <v>42.82</v>
      </c>
      <c r="H29" s="1228">
        <v>227.7</v>
      </c>
      <c r="I29" s="1228">
        <f t="shared" si="6"/>
        <v>270.52</v>
      </c>
      <c r="J29" s="1228">
        <v>50.26</v>
      </c>
      <c r="K29" s="1228">
        <v>1.08</v>
      </c>
      <c r="L29" s="1228">
        <v>5.42</v>
      </c>
      <c r="M29" s="1228">
        <f t="shared" si="7"/>
        <v>56.76</v>
      </c>
      <c r="N29" s="1228">
        <f>8.88+4.92</f>
        <v>13.8</v>
      </c>
      <c r="O29" s="1228">
        <f>N29+M29+I29+F29</f>
        <v>7362.34</v>
      </c>
      <c r="P29" s="1228">
        <v>7798.29</v>
      </c>
      <c r="Q29" s="1228">
        <v>3706.01</v>
      </c>
      <c r="R29" s="1228">
        <f t="shared" si="11"/>
        <v>-435.94999999999982</v>
      </c>
      <c r="S29" s="1228">
        <f t="shared" si="12"/>
        <v>353733.76999999996</v>
      </c>
      <c r="T29" s="1240" t="s">
        <v>599</v>
      </c>
    </row>
    <row r="30" spans="1:22" ht="12.6" customHeight="1">
      <c r="A30" s="1235" t="s">
        <v>607</v>
      </c>
      <c r="B30" s="1230">
        <v>886.47</v>
      </c>
      <c r="C30" s="1230">
        <v>4934.1400000000003</v>
      </c>
      <c r="D30" s="1230">
        <v>2964.46</v>
      </c>
      <c r="E30" s="1230">
        <v>727.04</v>
      </c>
      <c r="F30" s="1230">
        <f t="shared" si="3"/>
        <v>9512.1099999999988</v>
      </c>
      <c r="G30" s="1230">
        <v>48.87</v>
      </c>
      <c r="H30" s="1230">
        <v>312.02999999999997</v>
      </c>
      <c r="I30" s="1230">
        <f t="shared" si="6"/>
        <v>360.9</v>
      </c>
      <c r="J30" s="1230">
        <v>68.48</v>
      </c>
      <c r="K30" s="1230">
        <v>1.08</v>
      </c>
      <c r="L30" s="1230">
        <v>5.0599999999999996</v>
      </c>
      <c r="M30" s="1230">
        <f t="shared" si="7"/>
        <v>74.62</v>
      </c>
      <c r="N30" s="1230">
        <f>11.94+6.45</f>
        <v>18.39</v>
      </c>
      <c r="O30" s="1230">
        <f t="shared" si="10"/>
        <v>9966.0199999999986</v>
      </c>
      <c r="P30" s="1230">
        <v>7389.3</v>
      </c>
      <c r="Q30" s="1230">
        <v>3339.52</v>
      </c>
      <c r="R30" s="1230">
        <f t="shared" si="11"/>
        <v>2576.7199999999984</v>
      </c>
      <c r="S30" s="1230">
        <f t="shared" si="12"/>
        <v>356310.48999999993</v>
      </c>
      <c r="T30" s="1241" t="s">
        <v>607</v>
      </c>
    </row>
    <row r="31" spans="1:22" ht="12.6" customHeight="1">
      <c r="A31" s="1234" t="s">
        <v>608</v>
      </c>
      <c r="B31" s="1228">
        <v>633.98</v>
      </c>
      <c r="C31" s="1228">
        <v>4798.47</v>
      </c>
      <c r="D31" s="1228">
        <v>2884.24</v>
      </c>
      <c r="E31" s="1228">
        <v>715.59</v>
      </c>
      <c r="F31" s="1228">
        <f t="shared" si="3"/>
        <v>9032.2799999999988</v>
      </c>
      <c r="G31" s="1228">
        <v>41.68</v>
      </c>
      <c r="H31" s="1228">
        <v>296.7</v>
      </c>
      <c r="I31" s="1228">
        <f t="shared" si="6"/>
        <v>338.38</v>
      </c>
      <c r="J31" s="1228">
        <v>56.44</v>
      </c>
      <c r="K31" s="1228">
        <v>0.72</v>
      </c>
      <c r="L31" s="1228">
        <v>5.01</v>
      </c>
      <c r="M31" s="1228">
        <f t="shared" si="7"/>
        <v>62.169999999999995</v>
      </c>
      <c r="N31" s="1228">
        <f>10.64+13.96</f>
        <v>24.6</v>
      </c>
      <c r="O31" s="1228">
        <f t="shared" si="10"/>
        <v>9457.4299999999985</v>
      </c>
      <c r="P31" s="1228">
        <v>6934.52</v>
      </c>
      <c r="Q31" s="1228">
        <v>3176.54</v>
      </c>
      <c r="R31" s="1228">
        <f t="shared" si="11"/>
        <v>2522.909999999998</v>
      </c>
      <c r="S31" s="1228">
        <f t="shared" si="12"/>
        <v>358833.39999999991</v>
      </c>
      <c r="T31" s="1240" t="s">
        <v>608</v>
      </c>
    </row>
    <row r="32" spans="1:22" ht="12.6" customHeight="1">
      <c r="A32" s="1235" t="s">
        <v>600</v>
      </c>
      <c r="B32" s="1230">
        <v>746.01</v>
      </c>
      <c r="C32" s="1230">
        <v>5206.43</v>
      </c>
      <c r="D32" s="1230">
        <v>3009.46</v>
      </c>
      <c r="E32" s="1230">
        <v>849.28</v>
      </c>
      <c r="F32" s="1230">
        <f t="shared" si="3"/>
        <v>9811.18</v>
      </c>
      <c r="G32" s="1230">
        <v>46.89</v>
      </c>
      <c r="H32" s="1230">
        <v>313.73</v>
      </c>
      <c r="I32" s="1230">
        <f t="shared" si="6"/>
        <v>360.62</v>
      </c>
      <c r="J32" s="1230">
        <v>78.83</v>
      </c>
      <c r="K32" s="1230">
        <v>1.5</v>
      </c>
      <c r="L32" s="1230">
        <v>3.57</v>
      </c>
      <c r="M32" s="1230">
        <f t="shared" si="7"/>
        <v>83.899999999999991</v>
      </c>
      <c r="N32" s="1230">
        <f>11.69+3.81</f>
        <v>15.5</v>
      </c>
      <c r="O32" s="1230">
        <f t="shared" si="10"/>
        <v>10271.200000000001</v>
      </c>
      <c r="P32" s="1230">
        <v>8456.49</v>
      </c>
      <c r="Q32" s="1230">
        <v>3800.53</v>
      </c>
      <c r="R32" s="1230">
        <f t="shared" si="11"/>
        <v>1814.7100000000009</v>
      </c>
      <c r="S32" s="1230">
        <f t="shared" si="12"/>
        <v>360648.10999999993</v>
      </c>
      <c r="T32" s="1241" t="s">
        <v>600</v>
      </c>
    </row>
    <row r="33" spans="1:20" ht="12.6" customHeight="1">
      <c r="A33" s="1234" t="s">
        <v>609</v>
      </c>
      <c r="B33" s="1228">
        <v>747.85</v>
      </c>
      <c r="C33" s="1228">
        <v>4028.6</v>
      </c>
      <c r="D33" s="1228">
        <v>2322.37</v>
      </c>
      <c r="E33" s="1228">
        <v>688.39</v>
      </c>
      <c r="F33" s="1228">
        <f t="shared" si="3"/>
        <v>7787.21</v>
      </c>
      <c r="G33" s="1228">
        <v>36.299999999999997</v>
      </c>
      <c r="H33" s="1228">
        <v>244.49</v>
      </c>
      <c r="I33" s="1228">
        <f t="shared" si="6"/>
        <v>280.79000000000002</v>
      </c>
      <c r="J33" s="1228">
        <v>61.76</v>
      </c>
      <c r="K33" s="1228">
        <v>0.97</v>
      </c>
      <c r="L33" s="1228">
        <v>13.39</v>
      </c>
      <c r="M33" s="1228">
        <f t="shared" si="7"/>
        <v>76.12</v>
      </c>
      <c r="N33" s="1228">
        <f>11.07+3.48</f>
        <v>14.55</v>
      </c>
      <c r="O33" s="1228">
        <f t="shared" si="10"/>
        <v>8158.67</v>
      </c>
      <c r="P33" s="1228">
        <v>7144.03</v>
      </c>
      <c r="Q33" s="1228">
        <v>3116.34</v>
      </c>
      <c r="R33" s="1228">
        <f t="shared" si="11"/>
        <v>1014.6400000000003</v>
      </c>
      <c r="S33" s="1228">
        <f t="shared" si="12"/>
        <v>361662.74999999994</v>
      </c>
      <c r="T33" s="1240" t="s">
        <v>609</v>
      </c>
    </row>
    <row r="34" spans="1:20" ht="12.6" customHeight="1">
      <c r="A34" s="1235" t="s">
        <v>610</v>
      </c>
      <c r="B34" s="1230">
        <v>887.08</v>
      </c>
      <c r="C34" s="1230">
        <v>3664.3</v>
      </c>
      <c r="D34" s="1230">
        <v>2254.9699999999998</v>
      </c>
      <c r="E34" s="1230">
        <v>659.36</v>
      </c>
      <c r="F34" s="1230">
        <f t="shared" si="3"/>
        <v>7465.71</v>
      </c>
      <c r="G34" s="1230">
        <v>36.24</v>
      </c>
      <c r="H34" s="1230">
        <v>285.29000000000002</v>
      </c>
      <c r="I34" s="1230">
        <f t="shared" si="6"/>
        <v>321.53000000000003</v>
      </c>
      <c r="J34" s="1230">
        <v>54.66</v>
      </c>
      <c r="K34" s="1230">
        <v>2.69</v>
      </c>
      <c r="L34" s="1230">
        <v>7.87</v>
      </c>
      <c r="M34" s="1230">
        <f t="shared" si="7"/>
        <v>65.22</v>
      </c>
      <c r="N34" s="1230">
        <f>0.01+12.5</f>
        <v>12.51</v>
      </c>
      <c r="O34" s="1230">
        <f t="shared" si="10"/>
        <v>7864.97</v>
      </c>
      <c r="P34" s="1230">
        <v>7226.29</v>
      </c>
      <c r="Q34" s="1230">
        <v>3577.04</v>
      </c>
      <c r="R34" s="1230">
        <f>O34-P34</f>
        <v>638.68000000000029</v>
      </c>
      <c r="S34" s="1230">
        <f>S33+R34</f>
        <v>362301.42999999993</v>
      </c>
      <c r="T34" s="1241" t="s">
        <v>610</v>
      </c>
    </row>
    <row r="35" spans="1:20" ht="12.6" customHeight="1">
      <c r="A35" s="1234" t="s">
        <v>601</v>
      </c>
      <c r="B35" s="1228">
        <v>1291.99</v>
      </c>
      <c r="C35" s="1228">
        <v>4810.6499999999996</v>
      </c>
      <c r="D35" s="1228">
        <v>3317.49</v>
      </c>
      <c r="E35" s="1228">
        <v>807.87</v>
      </c>
      <c r="F35" s="1228">
        <f t="shared" si="3"/>
        <v>10227.999999999998</v>
      </c>
      <c r="G35" s="1228">
        <v>43.42</v>
      </c>
      <c r="H35" s="1228">
        <v>318.43</v>
      </c>
      <c r="I35" s="1228">
        <f t="shared" si="6"/>
        <v>361.85</v>
      </c>
      <c r="J35" s="1228">
        <v>56.08</v>
      </c>
      <c r="K35" s="1228">
        <v>5.15</v>
      </c>
      <c r="L35" s="1228">
        <v>43.48</v>
      </c>
      <c r="M35" s="1228">
        <f t="shared" si="7"/>
        <v>104.71</v>
      </c>
      <c r="N35" s="1228">
        <f>12.28+4.97</f>
        <v>17.25</v>
      </c>
      <c r="O35" s="1228">
        <f t="shared" si="10"/>
        <v>10711.809999999998</v>
      </c>
      <c r="P35" s="1228">
        <v>8962.19</v>
      </c>
      <c r="Q35" s="1228">
        <v>3980.39</v>
      </c>
      <c r="R35" s="1228">
        <f t="shared" si="11"/>
        <v>1749.6199999999972</v>
      </c>
      <c r="S35" s="1228">
        <f t="shared" si="12"/>
        <v>364051.04999999993</v>
      </c>
      <c r="T35" s="1240" t="s">
        <v>601</v>
      </c>
    </row>
    <row r="36" spans="1:20" ht="12.6" customHeight="1">
      <c r="A36" s="1233" t="s">
        <v>2547</v>
      </c>
      <c r="B36" s="1230"/>
      <c r="C36" s="1230"/>
      <c r="D36" s="1230"/>
      <c r="E36" s="1230"/>
      <c r="F36" s="1230"/>
      <c r="G36" s="1230"/>
      <c r="H36" s="1230"/>
      <c r="I36" s="1230"/>
      <c r="J36" s="1230"/>
      <c r="K36" s="1230"/>
      <c r="L36" s="1230"/>
      <c r="M36" s="1230"/>
      <c r="N36" s="1230"/>
      <c r="O36" s="1230"/>
      <c r="P36" s="1230"/>
      <c r="Q36" s="1230"/>
      <c r="R36" s="1230"/>
      <c r="S36" s="1230"/>
      <c r="T36" s="1239" t="s">
        <v>2547</v>
      </c>
    </row>
    <row r="37" spans="1:20" ht="12.6" customHeight="1">
      <c r="A37" s="1234" t="s">
        <v>603</v>
      </c>
      <c r="B37" s="1228">
        <v>737.77</v>
      </c>
      <c r="C37" s="1228">
        <v>3151.28</v>
      </c>
      <c r="D37" s="1228">
        <v>2030.08</v>
      </c>
      <c r="E37" s="1228">
        <v>601.25</v>
      </c>
      <c r="F37" s="1228">
        <f t="shared" si="3"/>
        <v>6520.380000000001</v>
      </c>
      <c r="G37" s="1228">
        <v>53.48</v>
      </c>
      <c r="H37" s="1228">
        <v>336.42</v>
      </c>
      <c r="I37" s="1228">
        <f t="shared" si="6"/>
        <v>389.90000000000003</v>
      </c>
      <c r="J37" s="1228">
        <v>56.56</v>
      </c>
      <c r="K37" s="1228">
        <v>5.3</v>
      </c>
      <c r="L37" s="1228">
        <v>29.84</v>
      </c>
      <c r="M37" s="1228">
        <f t="shared" si="7"/>
        <v>91.7</v>
      </c>
      <c r="N37" s="1228">
        <f>10.79+5.66</f>
        <v>16.45</v>
      </c>
      <c r="O37" s="1228">
        <f>N37+M37+I37+F37</f>
        <v>7018.4300000000012</v>
      </c>
      <c r="P37" s="1228">
        <v>6625.32</v>
      </c>
      <c r="Q37" s="1228">
        <v>3437</v>
      </c>
      <c r="R37" s="1228">
        <f t="shared" si="11"/>
        <v>393.11000000000149</v>
      </c>
      <c r="S37" s="1228">
        <f>S35+R37</f>
        <v>364444.15999999992</v>
      </c>
      <c r="T37" s="1240" t="s">
        <v>603</v>
      </c>
    </row>
    <row r="38" spans="1:20" ht="12.6" customHeight="1">
      <c r="A38" s="1235" t="s">
        <v>604</v>
      </c>
      <c r="B38" s="1230">
        <v>386.7</v>
      </c>
      <c r="C38" s="1230">
        <v>3577.52</v>
      </c>
      <c r="D38" s="1230">
        <v>2227.79</v>
      </c>
      <c r="E38" s="1230">
        <v>751.93</v>
      </c>
      <c r="F38" s="1230">
        <f t="shared" si="3"/>
        <v>6943.94</v>
      </c>
      <c r="G38" s="1230">
        <v>48.07</v>
      </c>
      <c r="H38" s="1230">
        <v>387.23</v>
      </c>
      <c r="I38" s="1230">
        <f t="shared" si="6"/>
        <v>435.3</v>
      </c>
      <c r="J38" s="1230">
        <v>69.47</v>
      </c>
      <c r="K38" s="1230">
        <v>42.16</v>
      </c>
      <c r="L38" s="1230">
        <v>3.91</v>
      </c>
      <c r="M38" s="1230">
        <f t="shared" si="7"/>
        <v>115.53999999999999</v>
      </c>
      <c r="N38" s="1230">
        <f>10.67+14.24</f>
        <v>24.91</v>
      </c>
      <c r="O38" s="1230">
        <f>N38+M38+I38+F38</f>
        <v>7519.69</v>
      </c>
      <c r="P38" s="1230">
        <v>7511.61</v>
      </c>
      <c r="Q38" s="1230">
        <v>3813.79</v>
      </c>
      <c r="R38" s="1230">
        <f>O38-P38</f>
        <v>8.0799999999999272</v>
      </c>
      <c r="S38" s="1230">
        <f>S37+R38</f>
        <v>364452.23999999993</v>
      </c>
      <c r="T38" s="1241" t="s">
        <v>604</v>
      </c>
    </row>
    <row r="39" spans="1:20" ht="12.6" customHeight="1">
      <c r="A39" s="1234" t="s">
        <v>598</v>
      </c>
      <c r="B39" s="1228">
        <v>306.93</v>
      </c>
      <c r="C39" s="1228">
        <v>3347.75</v>
      </c>
      <c r="D39" s="1228">
        <v>2129.31</v>
      </c>
      <c r="E39" s="1228">
        <v>661.57</v>
      </c>
      <c r="F39" s="1228">
        <f>E39+D39+C39+B39</f>
        <v>6445.56</v>
      </c>
      <c r="G39" s="1228">
        <v>48.08</v>
      </c>
      <c r="H39" s="1228">
        <v>370.39</v>
      </c>
      <c r="I39" s="1228">
        <f t="shared" si="6"/>
        <v>418.46999999999997</v>
      </c>
      <c r="J39" s="1228">
        <v>60.23</v>
      </c>
      <c r="K39" s="1228">
        <v>7.66</v>
      </c>
      <c r="L39" s="1228">
        <v>26</v>
      </c>
      <c r="M39" s="1228">
        <f t="shared" si="7"/>
        <v>93.89</v>
      </c>
      <c r="N39" s="1228">
        <f>10.38+4.92</f>
        <v>15.3</v>
      </c>
      <c r="O39" s="1228">
        <f>N39+M39+I39+F39</f>
        <v>6973.22</v>
      </c>
      <c r="P39" s="1228">
        <v>7043.86</v>
      </c>
      <c r="Q39" s="1228">
        <v>4797.8599999999997</v>
      </c>
      <c r="R39" s="1228">
        <f>O39-P39</f>
        <v>-70.639999999999418</v>
      </c>
      <c r="S39" s="1228">
        <f>S38+R39</f>
        <v>364381.59999999992</v>
      </c>
      <c r="T39" s="1240" t="s">
        <v>598</v>
      </c>
    </row>
    <row r="40" spans="1:20" ht="12.6" customHeight="1">
      <c r="A40" s="1235" t="s">
        <v>605</v>
      </c>
      <c r="B40" s="1230">
        <v>270.82</v>
      </c>
      <c r="C40" s="1230">
        <v>3199.66</v>
      </c>
      <c r="D40" s="1230">
        <v>1972.25</v>
      </c>
      <c r="E40" s="1230">
        <v>600.02</v>
      </c>
      <c r="F40" s="1230">
        <f>E40+D40+C40+B40</f>
        <v>6042.75</v>
      </c>
      <c r="G40" s="1230">
        <v>45.4</v>
      </c>
      <c r="H40" s="1230">
        <v>352.57</v>
      </c>
      <c r="I40" s="1230">
        <f t="shared" si="6"/>
        <v>397.96999999999997</v>
      </c>
      <c r="J40" s="1230">
        <v>49.01</v>
      </c>
      <c r="K40" s="1230">
        <v>5.8</v>
      </c>
      <c r="L40" s="1230">
        <v>22.14</v>
      </c>
      <c r="M40" s="1230">
        <f t="shared" si="7"/>
        <v>76.949999999999989</v>
      </c>
      <c r="N40" s="1230">
        <f>10.19+5.31</f>
        <v>15.5</v>
      </c>
      <c r="O40" s="1230">
        <f>F40+I40+M40+N40</f>
        <v>6533.17</v>
      </c>
      <c r="P40" s="1230">
        <v>7496.33</v>
      </c>
      <c r="Q40" s="1230">
        <v>3844.79</v>
      </c>
      <c r="R40" s="1230">
        <f>O40-P40</f>
        <v>-963.15999999999985</v>
      </c>
      <c r="S40" s="1230">
        <f>S39+R40</f>
        <v>363418.43999999994</v>
      </c>
      <c r="T40" s="1241" t="s">
        <v>605</v>
      </c>
    </row>
    <row r="41" spans="1:20" ht="12.6" customHeight="1" thickBot="1">
      <c r="A41" s="1714" t="s">
        <v>606</v>
      </c>
      <c r="B41" s="1715">
        <v>276.22000000000003</v>
      </c>
      <c r="C41" s="1715">
        <v>3373.09</v>
      </c>
      <c r="D41" s="1715">
        <v>2017.23</v>
      </c>
      <c r="E41" s="1715">
        <v>667.42</v>
      </c>
      <c r="F41" s="1715">
        <f>E41+D41+C41+B41</f>
        <v>6333.96</v>
      </c>
      <c r="G41" s="1715">
        <v>52.63</v>
      </c>
      <c r="H41" s="1715">
        <v>392.24</v>
      </c>
      <c r="I41" s="1715">
        <f t="shared" si="6"/>
        <v>444.87</v>
      </c>
      <c r="J41" s="1715">
        <v>53.81</v>
      </c>
      <c r="K41" s="1715">
        <v>2.65</v>
      </c>
      <c r="L41" s="1715">
        <v>31.13</v>
      </c>
      <c r="M41" s="1715">
        <f t="shared" si="7"/>
        <v>87.59</v>
      </c>
      <c r="N41" s="1715">
        <f>9.91+13.54</f>
        <v>23.45</v>
      </c>
      <c r="O41" s="1715">
        <f>F41+I41+N41+M41</f>
        <v>6889.87</v>
      </c>
      <c r="P41" s="1715">
        <v>7868.25</v>
      </c>
      <c r="Q41" s="1715">
        <v>3796.75</v>
      </c>
      <c r="R41" s="1715">
        <f>O41-P41</f>
        <v>-978.38000000000011</v>
      </c>
      <c r="S41" s="1715">
        <f>S40+R41</f>
        <v>362440.05999999994</v>
      </c>
      <c r="T41" s="1716" t="s">
        <v>606</v>
      </c>
    </row>
    <row r="42" spans="1:20" ht="15">
      <c r="A42" s="771" t="s">
        <v>2247</v>
      </c>
      <c r="B42" s="783"/>
      <c r="C42" s="783"/>
      <c r="D42" s="783"/>
      <c r="E42" s="783"/>
      <c r="F42" s="783"/>
      <c r="G42" s="783"/>
      <c r="H42" s="783"/>
      <c r="I42" s="783"/>
      <c r="J42" s="783"/>
      <c r="K42" s="783"/>
      <c r="L42" s="783"/>
      <c r="M42" s="783"/>
      <c r="N42" s="783"/>
      <c r="O42" s="783"/>
      <c r="P42" s="783"/>
      <c r="Q42" s="783"/>
      <c r="R42" s="783"/>
      <c r="S42" s="783"/>
      <c r="T42" s="210"/>
    </row>
    <row r="43" spans="1:20" ht="15">
      <c r="A43" s="1270" t="s">
        <v>1506</v>
      </c>
      <c r="B43" s="773" t="s">
        <v>2296</v>
      </c>
      <c r="C43" s="769"/>
      <c r="D43" s="769"/>
      <c r="E43" s="769"/>
      <c r="F43" s="769"/>
      <c r="G43" s="769"/>
      <c r="H43" s="778" t="s">
        <v>1465</v>
      </c>
      <c r="I43" s="769"/>
      <c r="J43" s="769"/>
      <c r="K43" s="769"/>
      <c r="L43" s="769"/>
      <c r="M43" s="769"/>
      <c r="N43" s="769"/>
      <c r="O43" s="769"/>
      <c r="P43" s="769"/>
      <c r="Q43" s="1491"/>
      <c r="R43" s="769"/>
      <c r="S43" s="594"/>
      <c r="T43" s="662"/>
    </row>
    <row r="44" spans="1:20" ht="15">
      <c r="A44" s="769"/>
      <c r="B44" s="769"/>
      <c r="C44" s="769"/>
      <c r="D44" s="769"/>
      <c r="E44" s="769"/>
      <c r="F44" s="778"/>
      <c r="G44" s="769"/>
      <c r="H44" s="779"/>
      <c r="I44" s="779"/>
      <c r="J44" s="769"/>
      <c r="K44" s="769"/>
      <c r="L44" s="769"/>
      <c r="M44" s="769"/>
      <c r="N44" s="769"/>
      <c r="O44" s="769"/>
      <c r="P44" s="1508"/>
      <c r="Q44" s="1492"/>
      <c r="R44" s="769"/>
      <c r="S44" s="488"/>
      <c r="T44" s="662"/>
    </row>
    <row r="45" spans="1:20">
      <c r="O45" s="662"/>
    </row>
    <row r="46" spans="1:20">
      <c r="S46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45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3" workbookViewId="0">
      <selection activeCell="K34" sqref="K34"/>
    </sheetView>
  </sheetViews>
  <sheetFormatPr defaultRowHeight="12.75"/>
  <cols>
    <col min="1" max="1" width="7" style="1405" customWidth="1"/>
    <col min="2" max="2" width="7.140625" style="1405" customWidth="1"/>
    <col min="3" max="3" width="6.28515625" style="1405" customWidth="1"/>
    <col min="4" max="4" width="7.140625" style="1405" customWidth="1"/>
    <col min="5" max="5" width="5.42578125" style="1405" customWidth="1"/>
    <col min="6" max="7" width="7.140625" style="1405" customWidth="1"/>
    <col min="8" max="8" width="6.28515625" style="1405" customWidth="1"/>
    <col min="9" max="10" width="7.140625" style="1405" customWidth="1"/>
    <col min="11" max="11" width="5.5703125" style="1405" customWidth="1"/>
    <col min="12" max="13" width="5.42578125" style="1405" customWidth="1"/>
    <col min="14" max="14" width="7.140625" style="1405" customWidth="1"/>
    <col min="15" max="15" width="4.85546875" style="1405" customWidth="1"/>
    <col min="16" max="16" width="6" style="1405" customWidth="1"/>
    <col min="17" max="17" width="4.42578125" style="1405" customWidth="1"/>
    <col min="18" max="18" width="7.140625" style="1405" customWidth="1"/>
    <col min="19" max="19" width="7.7109375" style="1405" customWidth="1"/>
    <col min="20" max="20" width="6.28515625" style="1405" customWidth="1"/>
    <col min="21" max="22" width="7.140625" style="1405" customWidth="1"/>
    <col min="23" max="23" width="7" style="1405" customWidth="1"/>
    <col min="24" max="16384" width="9.140625" style="1405"/>
  </cols>
  <sheetData>
    <row r="1" spans="1:26" ht="18.75">
      <c r="A1" s="1134"/>
      <c r="B1" s="1134"/>
      <c r="C1" s="1134"/>
      <c r="D1" s="1134"/>
      <c r="E1" s="1134"/>
      <c r="F1" s="1134"/>
      <c r="G1" s="1134"/>
      <c r="H1" s="1134"/>
      <c r="I1" s="1587" t="s">
        <v>2512</v>
      </c>
      <c r="J1" s="1587"/>
      <c r="K1" s="1587"/>
      <c r="L1" s="1587" t="s">
        <v>2513</v>
      </c>
      <c r="M1" s="1587"/>
      <c r="N1" s="1587" t="s">
        <v>2514</v>
      </c>
      <c r="O1" s="1587"/>
      <c r="P1" s="1587"/>
      <c r="Q1" s="1548"/>
      <c r="R1" s="1548"/>
      <c r="S1" s="1134"/>
      <c r="T1" s="1134"/>
      <c r="U1" s="1134"/>
      <c r="V1" s="1134"/>
      <c r="W1" s="1134"/>
    </row>
    <row r="2" spans="1:26" ht="18.75">
      <c r="A2" s="766"/>
      <c r="B2" s="767"/>
      <c r="C2" s="767"/>
      <c r="D2" s="774"/>
      <c r="E2" s="774"/>
      <c r="F2" s="774"/>
      <c r="G2" s="774"/>
      <c r="H2" s="774"/>
      <c r="I2" s="1549"/>
      <c r="J2" s="1550" t="s">
        <v>2515</v>
      </c>
      <c r="K2" s="1550"/>
      <c r="L2" s="1550"/>
      <c r="M2" s="1550"/>
      <c r="N2" s="1550"/>
      <c r="O2" s="1549"/>
      <c r="P2" s="1549"/>
      <c r="Q2" s="1549"/>
      <c r="R2" s="1549"/>
      <c r="S2" s="767"/>
      <c r="T2" s="767"/>
      <c r="U2" s="767"/>
      <c r="V2" s="1551" t="s">
        <v>2516</v>
      </c>
      <c r="W2" s="1134"/>
    </row>
    <row r="3" spans="1:26" ht="15">
      <c r="A3" s="1552"/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1552"/>
      <c r="M3" s="1552"/>
      <c r="N3" s="1552"/>
      <c r="O3" s="1552"/>
      <c r="P3" s="1552"/>
      <c r="Q3" s="1552"/>
      <c r="R3" s="1552"/>
      <c r="S3" s="1552"/>
      <c r="T3" s="1552"/>
      <c r="U3" s="1552"/>
      <c r="V3" s="1553" t="s">
        <v>24</v>
      </c>
      <c r="W3" s="1554"/>
    </row>
    <row r="4" spans="1:26">
      <c r="A4" s="2354" t="s">
        <v>524</v>
      </c>
      <c r="B4" s="2391" t="s">
        <v>2517</v>
      </c>
      <c r="C4" s="2392"/>
      <c r="D4" s="2392"/>
      <c r="E4" s="2392"/>
      <c r="F4" s="2393"/>
      <c r="G4" s="2391" t="s">
        <v>2518</v>
      </c>
      <c r="H4" s="2394"/>
      <c r="I4" s="2394"/>
      <c r="J4" s="2394"/>
      <c r="K4" s="2394"/>
      <c r="L4" s="2394"/>
      <c r="M4" s="2394"/>
      <c r="N4" s="2394"/>
      <c r="O4" s="2394"/>
      <c r="P4" s="2394"/>
      <c r="Q4" s="2394"/>
      <c r="R4" s="2395"/>
      <c r="S4" s="2396" t="s">
        <v>2519</v>
      </c>
      <c r="T4" s="2398" t="s">
        <v>2520</v>
      </c>
      <c r="U4" s="2399"/>
      <c r="V4" s="2400"/>
      <c r="W4" s="2384" t="s">
        <v>524</v>
      </c>
    </row>
    <row r="5" spans="1:26" ht="85.5" customHeight="1">
      <c r="A5" s="2355"/>
      <c r="B5" s="1555" t="s">
        <v>2521</v>
      </c>
      <c r="C5" s="1556" t="s">
        <v>2522</v>
      </c>
      <c r="D5" s="1555" t="s">
        <v>2523</v>
      </c>
      <c r="E5" s="1555" t="s">
        <v>2524</v>
      </c>
      <c r="F5" s="1555" t="s">
        <v>2525</v>
      </c>
      <c r="G5" s="1555" t="s">
        <v>2526</v>
      </c>
      <c r="H5" s="1555" t="s">
        <v>2527</v>
      </c>
      <c r="I5" s="1555" t="s">
        <v>2528</v>
      </c>
      <c r="J5" s="1555" t="s">
        <v>2529</v>
      </c>
      <c r="K5" s="1555" t="s">
        <v>2530</v>
      </c>
      <c r="L5" s="1555" t="s">
        <v>2531</v>
      </c>
      <c r="M5" s="1557" t="s">
        <v>2532</v>
      </c>
      <c r="N5" s="1557" t="s">
        <v>2533</v>
      </c>
      <c r="O5" s="1556" t="s">
        <v>2534</v>
      </c>
      <c r="P5" s="1556" t="s">
        <v>2535</v>
      </c>
      <c r="Q5" s="1556" t="s">
        <v>2536</v>
      </c>
      <c r="R5" s="1556" t="s">
        <v>2537</v>
      </c>
      <c r="S5" s="2397"/>
      <c r="T5" s="1556" t="s">
        <v>2538</v>
      </c>
      <c r="U5" s="1556" t="s">
        <v>2539</v>
      </c>
      <c r="V5" s="1556" t="s">
        <v>2540</v>
      </c>
      <c r="W5" s="2385"/>
    </row>
    <row r="6" spans="1:26">
      <c r="A6" s="2356"/>
      <c r="B6" s="1558">
        <v>1</v>
      </c>
      <c r="C6" s="1559">
        <v>2</v>
      </c>
      <c r="D6" s="1559">
        <v>3</v>
      </c>
      <c r="E6" s="1559">
        <v>4</v>
      </c>
      <c r="F6" s="1559">
        <v>5</v>
      </c>
      <c r="G6" s="1559">
        <v>6</v>
      </c>
      <c r="H6" s="1559">
        <v>7</v>
      </c>
      <c r="I6" s="1559">
        <v>8</v>
      </c>
      <c r="J6" s="1559">
        <v>9</v>
      </c>
      <c r="K6" s="1559">
        <v>10</v>
      </c>
      <c r="L6" s="1559">
        <v>11</v>
      </c>
      <c r="M6" s="1559">
        <v>12</v>
      </c>
      <c r="N6" s="1559">
        <v>13</v>
      </c>
      <c r="O6" s="1559">
        <v>14</v>
      </c>
      <c r="P6" s="1559">
        <v>15</v>
      </c>
      <c r="Q6" s="1559">
        <v>16</v>
      </c>
      <c r="R6" s="1559">
        <v>17</v>
      </c>
      <c r="S6" s="1559">
        <v>18</v>
      </c>
      <c r="T6" s="1559">
        <v>19</v>
      </c>
      <c r="U6" s="1559">
        <v>20</v>
      </c>
      <c r="V6" s="1559">
        <v>21</v>
      </c>
      <c r="W6" s="2386"/>
      <c r="Z6" s="1571"/>
    </row>
    <row r="7" spans="1:26" ht="17.100000000000001" customHeight="1">
      <c r="A7" s="1579" t="s">
        <v>592</v>
      </c>
      <c r="B7" s="1572">
        <v>17096</v>
      </c>
      <c r="C7" s="1572">
        <v>4249</v>
      </c>
      <c r="D7" s="1572">
        <v>21345</v>
      </c>
      <c r="E7" s="1572">
        <v>3609</v>
      </c>
      <c r="F7" s="1572">
        <v>24954</v>
      </c>
      <c r="G7" s="1572">
        <v>17898</v>
      </c>
      <c r="H7" s="1572">
        <v>1109</v>
      </c>
      <c r="I7" s="1572">
        <v>19007</v>
      </c>
      <c r="J7" s="1572">
        <v>16560</v>
      </c>
      <c r="K7" s="1572">
        <v>193</v>
      </c>
      <c r="L7" s="1572">
        <v>0</v>
      </c>
      <c r="M7" s="1572">
        <v>496</v>
      </c>
      <c r="N7" s="1572">
        <v>17249</v>
      </c>
      <c r="O7" s="1572">
        <v>-9</v>
      </c>
      <c r="P7" s="1572">
        <v>-249</v>
      </c>
      <c r="Q7" s="1572">
        <v>0</v>
      </c>
      <c r="R7" s="1572">
        <v>35998</v>
      </c>
      <c r="S7" s="1572">
        <v>-11044</v>
      </c>
      <c r="T7" s="1572">
        <v>3100</v>
      </c>
      <c r="U7" s="1572">
        <v>7944</v>
      </c>
      <c r="V7" s="1572">
        <v>11044</v>
      </c>
      <c r="W7" s="1581" t="s">
        <v>592</v>
      </c>
    </row>
    <row r="8" spans="1:26" ht="17.100000000000001" customHeight="1">
      <c r="A8" s="1580" t="s">
        <v>593</v>
      </c>
      <c r="B8" s="1573">
        <v>19490</v>
      </c>
      <c r="C8" s="1573">
        <v>4683</v>
      </c>
      <c r="D8" s="1573">
        <v>24173</v>
      </c>
      <c r="E8" s="1573">
        <v>2929</v>
      </c>
      <c r="F8" s="1573">
        <v>27102</v>
      </c>
      <c r="G8" s="1573">
        <v>20136</v>
      </c>
      <c r="H8" s="1573">
        <v>1411</v>
      </c>
      <c r="I8" s="1573">
        <v>21547</v>
      </c>
      <c r="J8" s="1573">
        <v>17950</v>
      </c>
      <c r="K8" s="1573">
        <v>133</v>
      </c>
      <c r="L8" s="1573">
        <v>0</v>
      </c>
      <c r="M8" s="1573">
        <v>773</v>
      </c>
      <c r="N8" s="1573">
        <v>18856</v>
      </c>
      <c r="O8" s="1577">
        <v>-122</v>
      </c>
      <c r="P8" s="1573">
        <v>-422</v>
      </c>
      <c r="Q8" s="1573">
        <v>0</v>
      </c>
      <c r="R8" s="1573">
        <v>39859</v>
      </c>
      <c r="S8" s="1573">
        <v>-12757</v>
      </c>
      <c r="T8" s="1573">
        <v>3565</v>
      </c>
      <c r="U8" s="1573">
        <v>9192</v>
      </c>
      <c r="V8" s="1573">
        <v>12757</v>
      </c>
      <c r="W8" s="1582" t="s">
        <v>593</v>
      </c>
    </row>
    <row r="9" spans="1:26" ht="17.100000000000001" customHeight="1">
      <c r="A9" s="1579" t="s">
        <v>594</v>
      </c>
      <c r="B9" s="1572">
        <v>21930</v>
      </c>
      <c r="C9" s="1572">
        <v>5740</v>
      </c>
      <c r="D9" s="1572">
        <v>27670</v>
      </c>
      <c r="E9" s="1572">
        <v>3482</v>
      </c>
      <c r="F9" s="1572">
        <v>31152</v>
      </c>
      <c r="G9" s="1572">
        <v>21037</v>
      </c>
      <c r="H9" s="1572">
        <v>1218</v>
      </c>
      <c r="I9" s="1572">
        <v>22255</v>
      </c>
      <c r="J9" s="1572">
        <v>15847</v>
      </c>
      <c r="K9" s="1572">
        <v>313</v>
      </c>
      <c r="L9" s="1572">
        <v>0</v>
      </c>
      <c r="M9" s="1572">
        <v>733</v>
      </c>
      <c r="N9" s="1572">
        <v>16893</v>
      </c>
      <c r="O9" s="1572">
        <v>-6</v>
      </c>
      <c r="P9" s="1572">
        <v>-385</v>
      </c>
      <c r="Q9" s="1572">
        <v>0</v>
      </c>
      <c r="R9" s="1572">
        <v>38757</v>
      </c>
      <c r="S9" s="1572">
        <v>-7605</v>
      </c>
      <c r="T9" s="1572">
        <v>2759</v>
      </c>
      <c r="U9" s="1572">
        <v>4846</v>
      </c>
      <c r="V9" s="1572">
        <v>7605</v>
      </c>
      <c r="W9" s="1581" t="s">
        <v>594</v>
      </c>
    </row>
    <row r="10" spans="1:26" ht="17.100000000000001" customHeight="1">
      <c r="A10" s="1580" t="s">
        <v>595</v>
      </c>
      <c r="B10" s="1573">
        <v>24950</v>
      </c>
      <c r="C10" s="1573">
        <v>6170</v>
      </c>
      <c r="D10" s="1573">
        <v>31120</v>
      </c>
      <c r="E10" s="1573">
        <v>2447</v>
      </c>
      <c r="F10" s="1573">
        <v>33567</v>
      </c>
      <c r="G10" s="1573">
        <v>24255</v>
      </c>
      <c r="H10" s="1573">
        <v>1351</v>
      </c>
      <c r="I10" s="1573">
        <v>25606</v>
      </c>
      <c r="J10" s="1573">
        <v>17060</v>
      </c>
      <c r="K10" s="1573">
        <v>390</v>
      </c>
      <c r="L10" s="1573">
        <v>0</v>
      </c>
      <c r="M10" s="1573">
        <v>593</v>
      </c>
      <c r="N10" s="1573">
        <v>18043</v>
      </c>
      <c r="O10" s="1573">
        <v>-74</v>
      </c>
      <c r="P10" s="1573">
        <v>-1029</v>
      </c>
      <c r="Q10" s="1573">
        <v>0</v>
      </c>
      <c r="R10" s="1573">
        <v>42546</v>
      </c>
      <c r="S10" s="1573">
        <v>-8979</v>
      </c>
      <c r="T10" s="1573">
        <v>4543</v>
      </c>
      <c r="U10" s="1573">
        <v>4436</v>
      </c>
      <c r="V10" s="1573">
        <v>8979</v>
      </c>
      <c r="W10" s="1582" t="s">
        <v>595</v>
      </c>
    </row>
    <row r="11" spans="1:26" ht="17.100000000000001" customHeight="1">
      <c r="A11" s="1579" t="s">
        <v>596</v>
      </c>
      <c r="B11" s="1572">
        <v>28300</v>
      </c>
      <c r="C11" s="1572">
        <v>7100</v>
      </c>
      <c r="D11" s="1572">
        <v>35400</v>
      </c>
      <c r="E11" s="1572">
        <v>2663</v>
      </c>
      <c r="F11" s="1572">
        <v>38063</v>
      </c>
      <c r="G11" s="1572">
        <v>26807</v>
      </c>
      <c r="H11" s="1572">
        <v>1766</v>
      </c>
      <c r="I11" s="1572">
        <v>28573</v>
      </c>
      <c r="J11" s="1572">
        <v>19000</v>
      </c>
      <c r="K11" s="1572">
        <v>419</v>
      </c>
      <c r="L11" s="1572">
        <v>210</v>
      </c>
      <c r="M11" s="1572">
        <v>585</v>
      </c>
      <c r="N11" s="1572">
        <v>20214</v>
      </c>
      <c r="O11" s="1572">
        <v>508</v>
      </c>
      <c r="P11" s="1572">
        <v>-928</v>
      </c>
      <c r="Q11" s="1578">
        <v>1000</v>
      </c>
      <c r="R11" s="1572">
        <v>49367</v>
      </c>
      <c r="S11" s="1572">
        <v>-11304</v>
      </c>
      <c r="T11" s="1572">
        <v>5329</v>
      </c>
      <c r="U11" s="1572">
        <v>5975</v>
      </c>
      <c r="V11" s="1572">
        <v>11304</v>
      </c>
      <c r="W11" s="1581" t="s">
        <v>596</v>
      </c>
    </row>
    <row r="12" spans="1:26" ht="17.100000000000001" customHeight="1">
      <c r="A12" s="1580" t="s">
        <v>597</v>
      </c>
      <c r="B12" s="1573">
        <v>31950</v>
      </c>
      <c r="C12" s="1573">
        <v>7250</v>
      </c>
      <c r="D12" s="1573">
        <v>39200</v>
      </c>
      <c r="E12" s="1573">
        <v>2644</v>
      </c>
      <c r="F12" s="1573">
        <v>41844</v>
      </c>
      <c r="G12" s="1573">
        <v>31590</v>
      </c>
      <c r="H12" s="1573">
        <v>2080</v>
      </c>
      <c r="I12" s="1573">
        <v>33670</v>
      </c>
      <c r="J12" s="1573">
        <v>20500</v>
      </c>
      <c r="K12" s="1573">
        <v>595</v>
      </c>
      <c r="L12" s="1573">
        <v>994</v>
      </c>
      <c r="M12" s="1573">
        <v>587</v>
      </c>
      <c r="N12" s="1573">
        <v>22676</v>
      </c>
      <c r="O12" s="1573">
        <v>168</v>
      </c>
      <c r="P12" s="1573">
        <v>-1152</v>
      </c>
      <c r="Q12" s="1577">
        <v>270</v>
      </c>
      <c r="R12" s="1573">
        <v>55632</v>
      </c>
      <c r="S12" s="1573">
        <v>-13788</v>
      </c>
      <c r="T12" s="1573">
        <v>6187</v>
      </c>
      <c r="U12" s="1573">
        <v>7601</v>
      </c>
      <c r="V12" s="1573">
        <v>13788</v>
      </c>
      <c r="W12" s="1582" t="s">
        <v>597</v>
      </c>
    </row>
    <row r="13" spans="1:26" ht="17.100000000000001" customHeight="1">
      <c r="A13" s="1579" t="s">
        <v>602</v>
      </c>
      <c r="B13" s="1572">
        <v>36175</v>
      </c>
      <c r="C13" s="1572">
        <v>8693</v>
      </c>
      <c r="D13" s="1572">
        <v>44868</v>
      </c>
      <c r="E13" s="1572">
        <v>2476</v>
      </c>
      <c r="F13" s="1572">
        <v>47344</v>
      </c>
      <c r="G13" s="1572">
        <v>34805</v>
      </c>
      <c r="H13" s="1572">
        <v>2252</v>
      </c>
      <c r="I13" s="1572">
        <v>37057</v>
      </c>
      <c r="J13" s="1572">
        <v>21500</v>
      </c>
      <c r="K13" s="1572">
        <v>0</v>
      </c>
      <c r="L13" s="1572">
        <v>1363</v>
      </c>
      <c r="M13" s="1572">
        <v>763</v>
      </c>
      <c r="N13" s="1572">
        <v>23626</v>
      </c>
      <c r="O13" s="1572">
        <v>207</v>
      </c>
      <c r="P13" s="1572">
        <v>-32</v>
      </c>
      <c r="Q13" s="1578">
        <v>200</v>
      </c>
      <c r="R13" s="1572">
        <v>61058</v>
      </c>
      <c r="S13" s="1572">
        <v>-13714</v>
      </c>
      <c r="T13" s="1572">
        <v>5574</v>
      </c>
      <c r="U13" s="1572">
        <v>8140</v>
      </c>
      <c r="V13" s="1572">
        <v>13714</v>
      </c>
      <c r="W13" s="1581" t="s">
        <v>602</v>
      </c>
    </row>
    <row r="14" spans="1:26" ht="17.100000000000001" customHeight="1">
      <c r="A14" s="1580" t="s">
        <v>611</v>
      </c>
      <c r="B14" s="1573">
        <v>39247</v>
      </c>
      <c r="C14" s="1573">
        <v>10225</v>
      </c>
      <c r="D14" s="1573">
        <v>49472</v>
      </c>
      <c r="E14" s="1573">
        <v>2150</v>
      </c>
      <c r="F14" s="1573">
        <v>51622</v>
      </c>
      <c r="G14" s="1573">
        <v>42064</v>
      </c>
      <c r="H14" s="1573">
        <v>2348</v>
      </c>
      <c r="I14" s="1573">
        <v>44412</v>
      </c>
      <c r="J14" s="1573">
        <v>21600</v>
      </c>
      <c r="K14" s="1573">
        <v>0</v>
      </c>
      <c r="L14" s="1573">
        <v>1579</v>
      </c>
      <c r="M14" s="1573">
        <v>283</v>
      </c>
      <c r="N14" s="1573">
        <v>23462</v>
      </c>
      <c r="O14" s="1573">
        <v>388</v>
      </c>
      <c r="P14" s="1573">
        <v>-1455</v>
      </c>
      <c r="Q14" s="1573">
        <v>29</v>
      </c>
      <c r="R14" s="1573">
        <v>66836</v>
      </c>
      <c r="S14" s="1573">
        <v>-15214</v>
      </c>
      <c r="T14" s="1573">
        <v>5183</v>
      </c>
      <c r="U14" s="1573">
        <v>10031</v>
      </c>
      <c r="V14" s="1573">
        <v>15214</v>
      </c>
      <c r="W14" s="1582" t="s">
        <v>611</v>
      </c>
    </row>
    <row r="15" spans="1:26" ht="17.100000000000001" customHeight="1">
      <c r="A15" s="1579" t="s">
        <v>361</v>
      </c>
      <c r="B15" s="1572">
        <v>48012</v>
      </c>
      <c r="C15" s="1572">
        <v>12527</v>
      </c>
      <c r="D15" s="1572">
        <v>60539</v>
      </c>
      <c r="E15" s="1572">
        <v>4388</v>
      </c>
      <c r="F15" s="1572">
        <v>64927</v>
      </c>
      <c r="G15" s="1572">
        <v>52255</v>
      </c>
      <c r="H15" s="1572">
        <v>4734</v>
      </c>
      <c r="I15" s="1572">
        <v>56989</v>
      </c>
      <c r="J15" s="1572">
        <v>22500</v>
      </c>
      <c r="K15" s="1572">
        <v>549</v>
      </c>
      <c r="L15" s="1572">
        <v>496</v>
      </c>
      <c r="M15" s="1572">
        <v>804</v>
      </c>
      <c r="N15" s="1572">
        <v>24349</v>
      </c>
      <c r="O15" s="1572">
        <v>809</v>
      </c>
      <c r="P15" s="1572">
        <v>9761</v>
      </c>
      <c r="Q15" s="1578">
        <v>1700</v>
      </c>
      <c r="R15" s="1572">
        <v>93608</v>
      </c>
      <c r="S15" s="1572">
        <v>-28681</v>
      </c>
      <c r="T15" s="1572">
        <v>8756</v>
      </c>
      <c r="U15" s="1572">
        <v>19925</v>
      </c>
      <c r="V15" s="1572">
        <v>28681</v>
      </c>
      <c r="W15" s="1581" t="s">
        <v>361</v>
      </c>
    </row>
    <row r="16" spans="1:26" ht="17.100000000000001" customHeight="1">
      <c r="A16" s="1560" t="s">
        <v>85</v>
      </c>
      <c r="B16" s="1573">
        <v>55526</v>
      </c>
      <c r="C16" s="1573">
        <v>13654</v>
      </c>
      <c r="D16" s="1573">
        <v>69180</v>
      </c>
      <c r="E16" s="1573">
        <v>4929</v>
      </c>
      <c r="F16" s="1573">
        <v>74109</v>
      </c>
      <c r="G16" s="1573">
        <v>62676</v>
      </c>
      <c r="H16" s="1573">
        <v>4449</v>
      </c>
      <c r="I16" s="1573">
        <v>67125</v>
      </c>
      <c r="J16" s="1573">
        <v>23000</v>
      </c>
      <c r="K16" s="1573">
        <v>990</v>
      </c>
      <c r="L16" s="1573">
        <v>478</v>
      </c>
      <c r="M16" s="1573">
        <v>1234</v>
      </c>
      <c r="N16" s="1573">
        <v>25702</v>
      </c>
      <c r="O16" s="1573">
        <v>4</v>
      </c>
      <c r="P16" s="1573">
        <v>559</v>
      </c>
      <c r="Q16" s="1577">
        <v>750</v>
      </c>
      <c r="R16" s="1573">
        <v>94140</v>
      </c>
      <c r="S16" s="1573">
        <v>-20031</v>
      </c>
      <c r="T16" s="1573">
        <v>5833</v>
      </c>
      <c r="U16" s="1573">
        <v>14198</v>
      </c>
      <c r="V16" s="1573">
        <v>20031</v>
      </c>
      <c r="W16" s="1583" t="s">
        <v>85</v>
      </c>
    </row>
    <row r="17" spans="1:23" ht="17.100000000000001" customHeight="1">
      <c r="A17" s="1561" t="s">
        <v>81</v>
      </c>
      <c r="B17" s="1572">
        <v>63956</v>
      </c>
      <c r="C17" s="1572">
        <v>15528</v>
      </c>
      <c r="D17" s="1572">
        <v>79484</v>
      </c>
      <c r="E17" s="1572">
        <v>3742</v>
      </c>
      <c r="F17" s="1572">
        <v>83226</v>
      </c>
      <c r="G17" s="1572">
        <v>68711</v>
      </c>
      <c r="H17" s="1572">
        <v>8417</v>
      </c>
      <c r="I17" s="1572">
        <v>77128</v>
      </c>
      <c r="J17" s="1572">
        <v>28500</v>
      </c>
      <c r="K17" s="1572">
        <v>1180</v>
      </c>
      <c r="L17" s="1572">
        <v>1009</v>
      </c>
      <c r="M17" s="1572">
        <v>1126</v>
      </c>
      <c r="N17" s="1572">
        <v>31815</v>
      </c>
      <c r="O17" s="1572">
        <v>60</v>
      </c>
      <c r="P17" s="1572">
        <v>1188</v>
      </c>
      <c r="Q17" s="1578">
        <v>332</v>
      </c>
      <c r="R17" s="1572">
        <v>110523</v>
      </c>
      <c r="S17" s="1572">
        <v>-27297</v>
      </c>
      <c r="T17" s="1572">
        <v>9972</v>
      </c>
      <c r="U17" s="1572">
        <v>17325</v>
      </c>
      <c r="V17" s="1572">
        <v>27297</v>
      </c>
      <c r="W17" s="1584" t="s">
        <v>81</v>
      </c>
    </row>
    <row r="18" spans="1:23" ht="17.100000000000001" customHeight="1">
      <c r="A18" s="1569" t="s">
        <v>198</v>
      </c>
      <c r="B18" s="1573">
        <v>79052</v>
      </c>
      <c r="C18" s="1573">
        <v>16135</v>
      </c>
      <c r="D18" s="1573">
        <v>95187</v>
      </c>
      <c r="E18" s="1573">
        <v>4224</v>
      </c>
      <c r="F18" s="1573">
        <v>99411</v>
      </c>
      <c r="G18" s="1573">
        <v>77103</v>
      </c>
      <c r="H18" s="1573">
        <v>6074</v>
      </c>
      <c r="I18" s="1573">
        <v>83177</v>
      </c>
      <c r="J18" s="1573">
        <v>35880</v>
      </c>
      <c r="K18" s="1573">
        <v>1430</v>
      </c>
      <c r="L18" s="1573">
        <v>1011</v>
      </c>
      <c r="M18" s="1573">
        <v>1294</v>
      </c>
      <c r="N18" s="1573">
        <v>39615</v>
      </c>
      <c r="O18" s="1573">
        <v>351</v>
      </c>
      <c r="P18" s="1573">
        <v>6718</v>
      </c>
      <c r="Q18" s="1576">
        <v>150</v>
      </c>
      <c r="R18" s="1573">
        <v>130011</v>
      </c>
      <c r="S18" s="1573">
        <v>-30600</v>
      </c>
      <c r="T18" s="1573">
        <v>5783</v>
      </c>
      <c r="U18" s="1573">
        <v>24817</v>
      </c>
      <c r="V18" s="1573">
        <v>30600</v>
      </c>
      <c r="W18" s="1585" t="s">
        <v>198</v>
      </c>
    </row>
    <row r="19" spans="1:23" ht="17.100000000000001" customHeight="1">
      <c r="A19" s="1570" t="s">
        <v>789</v>
      </c>
      <c r="B19" s="1572">
        <v>96285</v>
      </c>
      <c r="C19" s="1572">
        <v>18600</v>
      </c>
      <c r="D19" s="1572">
        <v>114885</v>
      </c>
      <c r="E19" s="1572">
        <v>4460</v>
      </c>
      <c r="F19" s="1572">
        <v>119345</v>
      </c>
      <c r="G19" s="1572">
        <v>91823</v>
      </c>
      <c r="H19" s="1572">
        <v>9162</v>
      </c>
      <c r="I19" s="1572">
        <v>100985</v>
      </c>
      <c r="J19" s="1572">
        <v>41080</v>
      </c>
      <c r="K19" s="1572">
        <v>2142</v>
      </c>
      <c r="L19" s="1572">
        <v>1144</v>
      </c>
      <c r="M19" s="1572">
        <v>1285</v>
      </c>
      <c r="N19" s="1572">
        <v>45651</v>
      </c>
      <c r="O19" s="1572">
        <v>384</v>
      </c>
      <c r="P19" s="1575">
        <v>14193</v>
      </c>
      <c r="Q19" s="1572">
        <v>0</v>
      </c>
      <c r="R19" s="1572">
        <v>161213</v>
      </c>
      <c r="S19" s="1572">
        <v>-41868</v>
      </c>
      <c r="T19" s="1572">
        <v>7399</v>
      </c>
      <c r="U19" s="1572">
        <v>34469</v>
      </c>
      <c r="V19" s="1572">
        <v>41868</v>
      </c>
      <c r="W19" s="1586" t="s">
        <v>789</v>
      </c>
    </row>
    <row r="20" spans="1:23" ht="17.100000000000001" customHeight="1">
      <c r="A20" s="1569" t="s">
        <v>905</v>
      </c>
      <c r="B20" s="1573">
        <v>116824</v>
      </c>
      <c r="C20" s="1573">
        <v>22846</v>
      </c>
      <c r="D20" s="1573">
        <v>139670</v>
      </c>
      <c r="E20" s="1573">
        <v>5280</v>
      </c>
      <c r="F20" s="1573">
        <v>144950</v>
      </c>
      <c r="G20" s="1573">
        <v>102892</v>
      </c>
      <c r="H20" s="1573">
        <v>7735</v>
      </c>
      <c r="I20" s="1573">
        <v>110627</v>
      </c>
      <c r="J20" s="1573">
        <v>52366</v>
      </c>
      <c r="K20" s="1573">
        <v>3091</v>
      </c>
      <c r="L20" s="1573">
        <v>801</v>
      </c>
      <c r="M20" s="1573">
        <v>1493</v>
      </c>
      <c r="N20" s="1573">
        <v>57751</v>
      </c>
      <c r="O20" s="1573">
        <v>183</v>
      </c>
      <c r="P20" s="1577">
        <v>20765</v>
      </c>
      <c r="Q20" s="1573">
        <v>0</v>
      </c>
      <c r="R20" s="1573">
        <v>189326</v>
      </c>
      <c r="S20" s="1573">
        <v>-44376</v>
      </c>
      <c r="T20" s="1573">
        <v>11903</v>
      </c>
      <c r="U20" s="1573">
        <v>32473</v>
      </c>
      <c r="V20" s="1573">
        <v>44376</v>
      </c>
      <c r="W20" s="1585" t="s">
        <v>905</v>
      </c>
    </row>
    <row r="21" spans="1:23" ht="17.100000000000001" customHeight="1">
      <c r="A21" s="1570" t="s">
        <v>1104</v>
      </c>
      <c r="B21" s="1572">
        <v>130178</v>
      </c>
      <c r="C21" s="1572">
        <v>26493</v>
      </c>
      <c r="D21" s="1572">
        <v>156671</v>
      </c>
      <c r="E21" s="1572">
        <v>5956</v>
      </c>
      <c r="F21" s="1572">
        <v>162627</v>
      </c>
      <c r="G21" s="1572">
        <v>115998</v>
      </c>
      <c r="H21" s="1572">
        <v>18909</v>
      </c>
      <c r="I21" s="1572">
        <v>134907</v>
      </c>
      <c r="J21" s="1572">
        <v>60000</v>
      </c>
      <c r="K21" s="1572">
        <v>3058</v>
      </c>
      <c r="L21" s="1572">
        <v>893</v>
      </c>
      <c r="M21" s="1572">
        <v>1194</v>
      </c>
      <c r="N21" s="1572">
        <v>65145</v>
      </c>
      <c r="O21" s="1572">
        <v>188</v>
      </c>
      <c r="P21" s="1575">
        <v>15982</v>
      </c>
      <c r="Q21" s="1572">
        <v>0</v>
      </c>
      <c r="R21" s="1572">
        <v>216222</v>
      </c>
      <c r="S21" s="1572">
        <v>-53595</v>
      </c>
      <c r="T21" s="1572">
        <v>12613</v>
      </c>
      <c r="U21" s="1572">
        <v>40982</v>
      </c>
      <c r="V21" s="1572">
        <v>53595</v>
      </c>
      <c r="W21" s="1586" t="s">
        <v>1104</v>
      </c>
    </row>
    <row r="22" spans="1:23" ht="17.100000000000001" customHeight="1">
      <c r="A22" s="1569" t="s">
        <v>1163</v>
      </c>
      <c r="B22" s="1573">
        <v>140676</v>
      </c>
      <c r="C22" s="1573">
        <v>22695</v>
      </c>
      <c r="D22" s="1573">
        <v>163371</v>
      </c>
      <c r="E22" s="1573">
        <v>5674</v>
      </c>
      <c r="F22" s="1573">
        <v>169045</v>
      </c>
      <c r="G22" s="1573">
        <v>127371</v>
      </c>
      <c r="H22" s="1573">
        <v>22028</v>
      </c>
      <c r="I22" s="1573">
        <v>149399</v>
      </c>
      <c r="J22" s="1573">
        <v>75000</v>
      </c>
      <c r="K22" s="1573">
        <v>3317</v>
      </c>
      <c r="L22" s="1573">
        <v>786</v>
      </c>
      <c r="M22" s="1573">
        <v>1373</v>
      </c>
      <c r="N22" s="1573">
        <v>80476</v>
      </c>
      <c r="O22" s="1573">
        <v>157</v>
      </c>
      <c r="P22" s="1573">
        <v>9636</v>
      </c>
      <c r="Q22" s="1573">
        <v>0</v>
      </c>
      <c r="R22" s="1573">
        <v>239668</v>
      </c>
      <c r="S22" s="1573">
        <v>-70623</v>
      </c>
      <c r="T22" s="1573">
        <v>15909</v>
      </c>
      <c r="U22" s="1573">
        <v>54714</v>
      </c>
      <c r="V22" s="1573">
        <v>70623</v>
      </c>
      <c r="W22" s="1585" t="s">
        <v>1163</v>
      </c>
    </row>
    <row r="23" spans="1:23" ht="17.100000000000001" customHeight="1">
      <c r="A23" s="1570" t="s">
        <v>1295</v>
      </c>
      <c r="B23" s="1572">
        <v>155400</v>
      </c>
      <c r="C23" s="1572">
        <v>22000</v>
      </c>
      <c r="D23" s="1572">
        <v>177400</v>
      </c>
      <c r="E23" s="1572">
        <v>5027</v>
      </c>
      <c r="F23" s="1572">
        <v>182427</v>
      </c>
      <c r="G23" s="1572">
        <v>150379</v>
      </c>
      <c r="H23" s="1572">
        <v>13372</v>
      </c>
      <c r="I23" s="1572">
        <v>163751</v>
      </c>
      <c r="J23" s="1572">
        <v>91000</v>
      </c>
      <c r="K23" s="1572">
        <v>2687</v>
      </c>
      <c r="L23" s="1572">
        <v>585</v>
      </c>
      <c r="M23" s="1572">
        <v>1636</v>
      </c>
      <c r="N23" s="1572">
        <v>95908</v>
      </c>
      <c r="O23" s="1572">
        <v>201</v>
      </c>
      <c r="P23" s="1572">
        <v>4705</v>
      </c>
      <c r="Q23" s="1572">
        <v>0</v>
      </c>
      <c r="R23" s="1572">
        <v>264565</v>
      </c>
      <c r="S23" s="1572">
        <v>-82138</v>
      </c>
      <c r="T23" s="1572">
        <v>19963</v>
      </c>
      <c r="U23" s="1572">
        <v>62175</v>
      </c>
      <c r="V23" s="1572">
        <v>82138</v>
      </c>
      <c r="W23" s="1586" t="s">
        <v>1295</v>
      </c>
    </row>
    <row r="24" spans="1:23" ht="17.100000000000001" customHeight="1">
      <c r="A24" s="1569" t="s">
        <v>1328</v>
      </c>
      <c r="B24" s="1573">
        <v>192261</v>
      </c>
      <c r="C24" s="1573">
        <v>26239</v>
      </c>
      <c r="D24" s="1573">
        <v>218500</v>
      </c>
      <c r="E24" s="1573">
        <v>4694</v>
      </c>
      <c r="F24" s="1573">
        <v>223194</v>
      </c>
      <c r="G24" s="1573">
        <v>178154</v>
      </c>
      <c r="H24" s="1573">
        <v>14778</v>
      </c>
      <c r="I24" s="1573">
        <v>192932</v>
      </c>
      <c r="J24" s="1573">
        <v>110700</v>
      </c>
      <c r="K24" s="1573">
        <v>2987</v>
      </c>
      <c r="L24" s="1573">
        <v>370</v>
      </c>
      <c r="M24" s="1573">
        <v>1933</v>
      </c>
      <c r="N24" s="1573">
        <v>115990</v>
      </c>
      <c r="O24" s="1573">
        <v>561</v>
      </c>
      <c r="P24" s="1573">
        <v>7691</v>
      </c>
      <c r="Q24" s="1573">
        <v>0</v>
      </c>
      <c r="R24" s="1573">
        <v>317174</v>
      </c>
      <c r="S24" s="1573">
        <v>-93980</v>
      </c>
      <c r="T24" s="1573">
        <v>24077</v>
      </c>
      <c r="U24" s="1573">
        <v>69903</v>
      </c>
      <c r="V24" s="1573">
        <v>93980</v>
      </c>
      <c r="W24" s="1585" t="s">
        <v>1328</v>
      </c>
    </row>
    <row r="25" spans="1:23" ht="17.100000000000001" customHeight="1">
      <c r="A25" s="1570" t="s">
        <v>1467</v>
      </c>
      <c r="B25" s="1572">
        <v>232202</v>
      </c>
      <c r="C25" s="1572">
        <v>27252</v>
      </c>
      <c r="D25" s="1572">
        <v>259454</v>
      </c>
      <c r="E25" s="1572">
        <v>4457</v>
      </c>
      <c r="F25" s="1572">
        <v>263911</v>
      </c>
      <c r="G25" s="1572">
        <v>193828</v>
      </c>
      <c r="H25" s="1572">
        <v>16750</v>
      </c>
      <c r="I25" s="1572">
        <v>210578</v>
      </c>
      <c r="J25" s="1572">
        <v>148381</v>
      </c>
      <c r="K25" s="1572">
        <v>3140</v>
      </c>
      <c r="L25" s="1572">
        <v>261</v>
      </c>
      <c r="M25" s="1572">
        <v>1906</v>
      </c>
      <c r="N25" s="1572">
        <v>153688</v>
      </c>
      <c r="O25" s="1578">
        <v>3894</v>
      </c>
      <c r="P25" s="1572">
        <v>3335</v>
      </c>
      <c r="Q25" s="1572">
        <v>0</v>
      </c>
      <c r="R25" s="1572">
        <v>371495</v>
      </c>
      <c r="S25" s="1572">
        <v>-107584</v>
      </c>
      <c r="T25" s="1572">
        <v>41567</v>
      </c>
      <c r="U25" s="1572">
        <v>66017</v>
      </c>
      <c r="V25" s="1572">
        <v>107584</v>
      </c>
      <c r="W25" s="1586" t="s">
        <v>1467</v>
      </c>
    </row>
    <row r="26" spans="1:23" ht="17.100000000000001" customHeight="1">
      <c r="A26" s="1569" t="s">
        <v>1596</v>
      </c>
      <c r="B26" s="1573">
        <v>289600</v>
      </c>
      <c r="C26" s="1573">
        <v>27012</v>
      </c>
      <c r="D26" s="1573">
        <v>316612</v>
      </c>
      <c r="E26" s="1573">
        <v>3787</v>
      </c>
      <c r="F26" s="1573">
        <v>320399</v>
      </c>
      <c r="G26" s="1573">
        <v>247747</v>
      </c>
      <c r="H26" s="1573">
        <v>18981</v>
      </c>
      <c r="I26" s="1573">
        <v>266728</v>
      </c>
      <c r="J26" s="1573">
        <v>167000</v>
      </c>
      <c r="K26" s="1573">
        <v>4143</v>
      </c>
      <c r="L26" s="1573">
        <v>299</v>
      </c>
      <c r="M26" s="1573">
        <v>2007</v>
      </c>
      <c r="N26" s="1573">
        <v>173449</v>
      </c>
      <c r="O26" s="1573">
        <v>282</v>
      </c>
      <c r="P26" s="1573">
        <v>2082</v>
      </c>
      <c r="Q26" s="1573">
        <v>0</v>
      </c>
      <c r="R26" s="1573">
        <v>442541</v>
      </c>
      <c r="S26" s="1573">
        <v>-122142</v>
      </c>
      <c r="T26" s="1573">
        <v>43397</v>
      </c>
      <c r="U26" s="1573">
        <v>78745</v>
      </c>
      <c r="V26" s="1573">
        <v>122142</v>
      </c>
      <c r="W26" s="1585" t="s">
        <v>1596</v>
      </c>
    </row>
    <row r="27" spans="1:23" ht="17.100000000000001" customHeight="1">
      <c r="A27" s="1570" t="s">
        <v>1691</v>
      </c>
      <c r="B27" s="1572">
        <v>313068</v>
      </c>
      <c r="C27" s="1572">
        <v>35001</v>
      </c>
      <c r="D27" s="1572">
        <v>348069</v>
      </c>
      <c r="E27" s="1572">
        <v>3454</v>
      </c>
      <c r="F27" s="1572">
        <v>351523</v>
      </c>
      <c r="G27" s="1572">
        <v>274907</v>
      </c>
      <c r="H27" s="1572">
        <v>20373</v>
      </c>
      <c r="I27" s="1572">
        <v>295280</v>
      </c>
      <c r="J27" s="1572">
        <v>192921</v>
      </c>
      <c r="K27" s="1572">
        <v>4846</v>
      </c>
      <c r="L27" s="1572">
        <v>1833</v>
      </c>
      <c r="M27" s="1572">
        <v>2749</v>
      </c>
      <c r="N27" s="1572">
        <v>202349</v>
      </c>
      <c r="O27" s="1572">
        <v>654</v>
      </c>
      <c r="P27" s="1572">
        <v>3294</v>
      </c>
      <c r="Q27" s="1572">
        <v>0</v>
      </c>
      <c r="R27" s="1572">
        <v>501577</v>
      </c>
      <c r="S27" s="1572">
        <v>-150054</v>
      </c>
      <c r="T27" s="1572">
        <v>52709</v>
      </c>
      <c r="U27" s="1572">
        <v>97345</v>
      </c>
      <c r="V27" s="1572">
        <v>150054</v>
      </c>
      <c r="W27" s="1586" t="s">
        <v>1691</v>
      </c>
    </row>
    <row r="28" spans="1:23" ht="17.100000000000001" customHeight="1">
      <c r="A28" s="1569" t="s">
        <v>1760</v>
      </c>
      <c r="B28" s="1573">
        <v>316000</v>
      </c>
      <c r="C28" s="1573">
        <v>35532</v>
      </c>
      <c r="D28" s="1573">
        <v>351532</v>
      </c>
      <c r="E28" s="1573">
        <v>3985</v>
      </c>
      <c r="F28" s="1573">
        <v>355517</v>
      </c>
      <c r="G28" s="1573">
        <v>302547</v>
      </c>
      <c r="H28" s="1573">
        <v>21141</v>
      </c>
      <c r="I28" s="1573">
        <v>323688</v>
      </c>
      <c r="J28" s="1573">
        <v>197643</v>
      </c>
      <c r="K28" s="1573">
        <v>4610</v>
      </c>
      <c r="L28" s="1573">
        <v>3239</v>
      </c>
      <c r="M28" s="1573">
        <v>2532</v>
      </c>
      <c r="N28" s="1573">
        <v>208024</v>
      </c>
      <c r="O28" s="1577">
        <v>2553</v>
      </c>
      <c r="P28" s="1573">
        <v>4718</v>
      </c>
      <c r="Q28" s="1573">
        <v>0</v>
      </c>
      <c r="R28" s="1573">
        <v>538983</v>
      </c>
      <c r="S28" s="1573">
        <v>-183466</v>
      </c>
      <c r="T28" s="1573">
        <v>68414</v>
      </c>
      <c r="U28" s="1573">
        <v>115052</v>
      </c>
      <c r="V28" s="1573">
        <v>183466</v>
      </c>
      <c r="W28" s="1585" t="s">
        <v>1760</v>
      </c>
    </row>
    <row r="29" spans="1:23" ht="17.100000000000001" customHeight="1">
      <c r="A29" s="1570" t="s">
        <v>2160</v>
      </c>
      <c r="B29" s="1572">
        <v>346000</v>
      </c>
      <c r="C29" s="1572">
        <v>43000</v>
      </c>
      <c r="D29" s="1572">
        <v>389000</v>
      </c>
      <c r="E29" s="1572">
        <v>3192</v>
      </c>
      <c r="F29" s="1572">
        <v>392192</v>
      </c>
      <c r="G29" s="1572">
        <v>340572</v>
      </c>
      <c r="H29" s="1572">
        <v>26055</v>
      </c>
      <c r="I29" s="1572">
        <v>366627</v>
      </c>
      <c r="J29" s="1572">
        <v>209977</v>
      </c>
      <c r="K29" s="1572">
        <v>6336</v>
      </c>
      <c r="L29" s="1572">
        <v>3040</v>
      </c>
      <c r="M29" s="1572">
        <v>2595</v>
      </c>
      <c r="N29" s="1572">
        <v>221948</v>
      </c>
      <c r="O29" s="1572">
        <v>136</v>
      </c>
      <c r="P29" s="1572">
        <v>4789</v>
      </c>
      <c r="Q29" s="1572">
        <v>0</v>
      </c>
      <c r="R29" s="1572">
        <v>593500</v>
      </c>
      <c r="S29" s="1572">
        <v>-201308</v>
      </c>
      <c r="T29" s="1572">
        <v>77020</v>
      </c>
      <c r="U29" s="1572">
        <v>124288</v>
      </c>
      <c r="V29" s="1572">
        <v>201308</v>
      </c>
      <c r="W29" s="1586" t="s">
        <v>2160</v>
      </c>
    </row>
    <row r="30" spans="1:23" ht="17.100000000000001" customHeight="1" thickBot="1">
      <c r="A30" s="1562" t="s">
        <v>2541</v>
      </c>
      <c r="B30" s="1574">
        <v>388000</v>
      </c>
      <c r="C30" s="1574">
        <v>45000</v>
      </c>
      <c r="D30" s="1574">
        <v>433000</v>
      </c>
      <c r="E30" s="1574">
        <v>3271</v>
      </c>
      <c r="F30" s="1574">
        <v>436271</v>
      </c>
      <c r="G30" s="1574">
        <v>373242</v>
      </c>
      <c r="H30" s="1574">
        <v>38164</v>
      </c>
      <c r="I30" s="1574">
        <v>411406</v>
      </c>
      <c r="J30" s="1574">
        <v>246066</v>
      </c>
      <c r="K30" s="1574">
        <v>7721</v>
      </c>
      <c r="L30" s="1574">
        <v>3155</v>
      </c>
      <c r="M30" s="1574">
        <v>2675</v>
      </c>
      <c r="N30" s="1574">
        <v>259617</v>
      </c>
      <c r="O30" s="1574">
        <v>540</v>
      </c>
      <c r="P30" s="1574">
        <v>6501</v>
      </c>
      <c r="Q30" s="1574">
        <v>0</v>
      </c>
      <c r="R30" s="1574">
        <v>678064</v>
      </c>
      <c r="S30" s="1574">
        <v>-241793</v>
      </c>
      <c r="T30" s="1574">
        <v>95458</v>
      </c>
      <c r="U30" s="1574">
        <v>146335</v>
      </c>
      <c r="V30" s="1574">
        <v>241793</v>
      </c>
      <c r="W30" s="1594" t="s">
        <v>2544</v>
      </c>
    </row>
    <row r="31" spans="1:23" ht="15">
      <c r="A31" s="1563" t="s">
        <v>1506</v>
      </c>
      <c r="B31" s="1564" t="s">
        <v>2542</v>
      </c>
      <c r="C31" s="1552"/>
      <c r="D31" s="1552"/>
      <c r="E31" s="1552"/>
      <c r="F31" s="1552"/>
      <c r="G31" s="1565" t="s">
        <v>2543</v>
      </c>
      <c r="H31" s="1566"/>
      <c r="I31" s="1552"/>
      <c r="J31" s="1134"/>
      <c r="K31" s="1134"/>
      <c r="L31" s="1567"/>
      <c r="M31" s="1567"/>
      <c r="N31" s="1567"/>
      <c r="O31" s="1567"/>
      <c r="P31" s="1567"/>
      <c r="Q31" s="1567"/>
      <c r="R31" s="1567"/>
      <c r="S31" s="1567"/>
      <c r="T31" s="1567"/>
      <c r="U31" s="1567"/>
      <c r="V31" s="1568"/>
      <c r="W31" s="1567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45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8" workbookViewId="0">
      <selection activeCell="K30" sqref="K30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01" t="s">
        <v>358</v>
      </c>
      <c r="C1" s="2401"/>
      <c r="D1" s="2401"/>
      <c r="E1" s="2401"/>
      <c r="F1" s="2401"/>
      <c r="G1" s="2401"/>
      <c r="H1" s="2401"/>
    </row>
    <row r="2" spans="2:8" s="4" customFormat="1" ht="12">
      <c r="B2" s="2402" t="s">
        <v>1431</v>
      </c>
      <c r="C2" s="2402"/>
      <c r="D2" s="2402"/>
      <c r="E2" s="2402"/>
      <c r="F2" s="2402"/>
      <c r="G2" s="2402"/>
      <c r="H2" s="2402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68"/>
      <c r="C4" s="1268"/>
      <c r="D4" s="1268"/>
      <c r="E4" s="1268"/>
      <c r="F4" s="1268"/>
      <c r="G4" s="1268"/>
      <c r="H4" s="1268"/>
    </row>
    <row r="5" spans="2:8" ht="15" customHeight="1">
      <c r="B5" s="194" t="s">
        <v>429</v>
      </c>
      <c r="C5" s="195" t="s">
        <v>430</v>
      </c>
      <c r="D5" s="1268" t="s">
        <v>431</v>
      </c>
      <c r="E5" s="1268"/>
      <c r="F5" s="1268" t="s">
        <v>432</v>
      </c>
      <c r="G5" s="1268" t="s">
        <v>430</v>
      </c>
      <c r="H5" s="1268" t="s">
        <v>433</v>
      </c>
    </row>
    <row r="6" spans="2:8" ht="15" customHeight="1">
      <c r="B6" s="1268"/>
      <c r="C6" s="195" t="s">
        <v>430</v>
      </c>
      <c r="D6" s="195" t="s">
        <v>434</v>
      </c>
      <c r="E6" s="195"/>
      <c r="F6" s="195"/>
      <c r="G6" s="195" t="s">
        <v>430</v>
      </c>
      <c r="H6" s="195" t="s">
        <v>435</v>
      </c>
    </row>
    <row r="7" spans="2:8" ht="15" customHeight="1">
      <c r="B7" s="1268"/>
      <c r="C7" s="1268"/>
      <c r="D7" s="195"/>
      <c r="E7" s="195"/>
      <c r="F7" s="195"/>
      <c r="G7" s="195"/>
      <c r="H7" s="195"/>
    </row>
    <row r="8" spans="2:8" ht="15" customHeight="1">
      <c r="B8" s="195" t="s">
        <v>436</v>
      </c>
      <c r="C8" s="195" t="s">
        <v>430</v>
      </c>
      <c r="D8" s="195" t="s">
        <v>437</v>
      </c>
      <c r="E8" s="195"/>
      <c r="F8" s="195" t="s">
        <v>438</v>
      </c>
      <c r="G8" s="195" t="s">
        <v>430</v>
      </c>
      <c r="H8" s="195" t="s">
        <v>439</v>
      </c>
    </row>
    <row r="9" spans="2:8" ht="15" customHeight="1">
      <c r="B9" s="1268"/>
      <c r="C9" s="195"/>
      <c r="D9" s="195"/>
      <c r="E9" s="195"/>
      <c r="F9" s="195"/>
      <c r="G9" s="195" t="s">
        <v>430</v>
      </c>
      <c r="H9" s="195" t="s">
        <v>441</v>
      </c>
    </row>
    <row r="10" spans="2:8" ht="15" customHeight="1">
      <c r="B10" s="1268"/>
      <c r="C10" s="195"/>
      <c r="D10" s="195"/>
      <c r="E10" s="195"/>
      <c r="F10" s="195"/>
      <c r="G10" s="195"/>
      <c r="H10" s="195"/>
    </row>
    <row r="11" spans="2:8" ht="15" customHeight="1">
      <c r="B11" s="195" t="s">
        <v>442</v>
      </c>
      <c r="C11" s="195" t="s">
        <v>430</v>
      </c>
      <c r="D11" s="195" t="s">
        <v>443</v>
      </c>
      <c r="E11" s="195"/>
      <c r="F11" s="195" t="s">
        <v>444</v>
      </c>
      <c r="G11" s="195" t="s">
        <v>430</v>
      </c>
      <c r="H11" s="195" t="s">
        <v>445</v>
      </c>
    </row>
    <row r="12" spans="2:8" ht="15" customHeight="1">
      <c r="B12" s="195" t="s">
        <v>446</v>
      </c>
      <c r="C12" s="195" t="s">
        <v>430</v>
      </c>
      <c r="D12" s="195" t="s">
        <v>447</v>
      </c>
      <c r="E12" s="195"/>
      <c r="F12" s="195"/>
      <c r="G12" s="195" t="s">
        <v>430</v>
      </c>
      <c r="H12" s="195" t="s">
        <v>448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449</v>
      </c>
      <c r="G14" s="195" t="s">
        <v>430</v>
      </c>
      <c r="H14" s="195" t="s">
        <v>450</v>
      </c>
    </row>
    <row r="15" spans="2:8" ht="15" customHeight="1">
      <c r="B15" s="195" t="s">
        <v>451</v>
      </c>
      <c r="C15" s="195" t="s">
        <v>430</v>
      </c>
      <c r="D15" s="195" t="s">
        <v>452</v>
      </c>
      <c r="E15" s="195"/>
      <c r="F15" s="195"/>
      <c r="G15" s="195" t="s">
        <v>430</v>
      </c>
      <c r="H15" s="195" t="s">
        <v>453</v>
      </c>
    </row>
    <row r="16" spans="2:8" ht="15" customHeight="1">
      <c r="B16" s="195"/>
      <c r="C16" s="195" t="s">
        <v>430</v>
      </c>
      <c r="D16" s="195" t="s">
        <v>454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455</v>
      </c>
      <c r="G17" s="195" t="s">
        <v>430</v>
      </c>
      <c r="H17" s="195" t="s">
        <v>456</v>
      </c>
    </row>
    <row r="18" spans="2:8" ht="15" customHeight="1">
      <c r="B18" s="196" t="s">
        <v>457</v>
      </c>
      <c r="C18" s="195" t="s">
        <v>430</v>
      </c>
      <c r="D18" s="195" t="s">
        <v>460</v>
      </c>
      <c r="E18" s="195"/>
      <c r="F18" s="195" t="s">
        <v>458</v>
      </c>
      <c r="G18" s="195" t="s">
        <v>430</v>
      </c>
      <c r="H18" s="195" t="s">
        <v>459</v>
      </c>
    </row>
    <row r="19" spans="2:8" ht="15" customHeight="1">
      <c r="B19" s="2"/>
      <c r="C19" s="195" t="s">
        <v>430</v>
      </c>
      <c r="D19" s="196" t="s">
        <v>1312</v>
      </c>
      <c r="E19" s="195"/>
      <c r="F19" s="195" t="s">
        <v>517</v>
      </c>
      <c r="G19" s="195" t="s">
        <v>430</v>
      </c>
      <c r="H19" s="195" t="s">
        <v>461</v>
      </c>
    </row>
    <row r="20" spans="2:8" ht="15" customHeight="1">
      <c r="B20" s="195" t="s">
        <v>462</v>
      </c>
      <c r="C20" s="195" t="s">
        <v>430</v>
      </c>
      <c r="D20" s="195" t="s">
        <v>463</v>
      </c>
      <c r="E20" s="195"/>
      <c r="F20" s="195" t="s">
        <v>464</v>
      </c>
      <c r="G20" s="195" t="s">
        <v>430</v>
      </c>
      <c r="H20" s="195" t="s">
        <v>465</v>
      </c>
    </row>
    <row r="21" spans="2:8" ht="15" customHeight="1">
      <c r="B21" s="195"/>
      <c r="C21" s="195" t="s">
        <v>430</v>
      </c>
      <c r="D21" s="195" t="s">
        <v>466</v>
      </c>
      <c r="E21" s="195"/>
      <c r="F21" s="195" t="s">
        <v>467</v>
      </c>
      <c r="G21" s="195" t="s">
        <v>430</v>
      </c>
      <c r="H21" s="195" t="s">
        <v>468</v>
      </c>
    </row>
    <row r="22" spans="2:8" ht="15" customHeight="1">
      <c r="B22" s="195"/>
      <c r="C22" s="195" t="s">
        <v>430</v>
      </c>
      <c r="D22" s="195" t="s">
        <v>469</v>
      </c>
      <c r="E22" s="195"/>
      <c r="F22" s="195"/>
      <c r="G22" s="195" t="s">
        <v>430</v>
      </c>
      <c r="H22" s="195" t="s">
        <v>472</v>
      </c>
    </row>
    <row r="23" spans="2:8" ht="15" customHeight="1">
      <c r="B23" s="195"/>
      <c r="C23" s="195" t="s">
        <v>430</v>
      </c>
      <c r="D23" s="195" t="s">
        <v>473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515</v>
      </c>
      <c r="G24" s="195" t="s">
        <v>430</v>
      </c>
      <c r="H24" s="195" t="s">
        <v>477</v>
      </c>
    </row>
    <row r="25" spans="2:8" ht="15" customHeight="1">
      <c r="B25" s="195" t="s">
        <v>478</v>
      </c>
      <c r="C25" s="195" t="s">
        <v>430</v>
      </c>
      <c r="D25" s="195" t="s">
        <v>479</v>
      </c>
      <c r="E25" s="195"/>
      <c r="F25" s="195"/>
      <c r="G25" s="195" t="s">
        <v>430</v>
      </c>
      <c r="H25" s="195" t="s">
        <v>480</v>
      </c>
    </row>
    <row r="26" spans="2:8" ht="15" customHeight="1">
      <c r="B26" s="195"/>
      <c r="C26" s="195" t="s">
        <v>430</v>
      </c>
      <c r="D26" s="195" t="s">
        <v>481</v>
      </c>
      <c r="E26" s="195"/>
      <c r="F26" s="195"/>
      <c r="G26" s="195" t="s">
        <v>430</v>
      </c>
      <c r="H26" s="195" t="s">
        <v>482</v>
      </c>
    </row>
    <row r="27" spans="2:8" ht="15" customHeight="1">
      <c r="B27" s="195"/>
      <c r="C27" s="197" t="s">
        <v>430</v>
      </c>
      <c r="D27" s="197" t="s">
        <v>483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484</v>
      </c>
      <c r="G28" s="195" t="s">
        <v>430</v>
      </c>
      <c r="H28" s="195" t="s">
        <v>485</v>
      </c>
    </row>
    <row r="29" spans="2:8" ht="15" customHeight="1">
      <c r="B29" s="195" t="s">
        <v>486</v>
      </c>
      <c r="C29" s="195" t="s">
        <v>430</v>
      </c>
      <c r="D29" s="195" t="s">
        <v>487</v>
      </c>
      <c r="E29" s="195"/>
      <c r="F29" s="195" t="s">
        <v>488</v>
      </c>
      <c r="G29" s="195" t="s">
        <v>430</v>
      </c>
      <c r="H29" s="195" t="s">
        <v>489</v>
      </c>
    </row>
    <row r="30" spans="2:8" ht="15" customHeight="1">
      <c r="B30" s="195"/>
      <c r="C30" s="195" t="s">
        <v>430</v>
      </c>
      <c r="D30" s="195" t="s">
        <v>490</v>
      </c>
      <c r="E30" s="195"/>
      <c r="F30" s="195"/>
      <c r="G30" s="195" t="s">
        <v>430</v>
      </c>
      <c r="H30" s="195" t="s">
        <v>491</v>
      </c>
    </row>
    <row r="31" spans="2:8" ht="15" customHeight="1">
      <c r="B31" s="195"/>
      <c r="C31" s="195"/>
      <c r="D31" s="195"/>
      <c r="E31" s="195"/>
      <c r="F31" s="195"/>
      <c r="G31" s="195" t="s">
        <v>430</v>
      </c>
      <c r="H31" s="195" t="s">
        <v>516</v>
      </c>
    </row>
    <row r="32" spans="2:8" ht="15" customHeight="1">
      <c r="B32" s="195" t="s">
        <v>492</v>
      </c>
      <c r="C32" s="195" t="s">
        <v>430</v>
      </c>
      <c r="D32" s="195" t="s">
        <v>493</v>
      </c>
      <c r="E32" s="195"/>
      <c r="F32" s="195"/>
      <c r="G32" s="195" t="s">
        <v>430</v>
      </c>
      <c r="H32" s="195" t="s">
        <v>357</v>
      </c>
    </row>
    <row r="33" spans="2:8" ht="15" customHeight="1">
      <c r="B33" s="195"/>
      <c r="C33" s="195" t="s">
        <v>430</v>
      </c>
      <c r="D33" s="195" t="s">
        <v>494</v>
      </c>
      <c r="E33" s="195"/>
    </row>
    <row r="34" spans="2:8" ht="15" customHeight="1">
      <c r="B34" s="195"/>
      <c r="C34" s="195" t="s">
        <v>430</v>
      </c>
      <c r="D34" s="195" t="s">
        <v>497</v>
      </c>
      <c r="E34" s="195"/>
      <c r="F34" s="195" t="s">
        <v>495</v>
      </c>
      <c r="G34" s="195" t="s">
        <v>430</v>
      </c>
      <c r="H34" s="195" t="s">
        <v>496</v>
      </c>
    </row>
    <row r="35" spans="2:8" ht="15" customHeight="1">
      <c r="B35" s="195"/>
      <c r="C35" s="195"/>
      <c r="D35" s="195"/>
      <c r="E35" s="195"/>
      <c r="F35" s="195" t="s">
        <v>355</v>
      </c>
      <c r="G35" s="195" t="s">
        <v>430</v>
      </c>
      <c r="H35" s="195" t="s">
        <v>356</v>
      </c>
    </row>
    <row r="36" spans="2:8" ht="15" customHeight="1">
      <c r="B36" s="195" t="s">
        <v>498</v>
      </c>
      <c r="C36" s="195" t="s">
        <v>430</v>
      </c>
      <c r="D36" s="195" t="s">
        <v>499</v>
      </c>
      <c r="E36" s="195"/>
      <c r="F36" s="195" t="s">
        <v>792</v>
      </c>
      <c r="G36" s="195" t="s">
        <v>430</v>
      </c>
      <c r="H36" s="195" t="s">
        <v>354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403" t="s">
        <v>1432</v>
      </c>
      <c r="C38" s="2403"/>
      <c r="D38" s="2403"/>
      <c r="E38" s="2403"/>
      <c r="F38" s="2403"/>
      <c r="G38" s="2403"/>
      <c r="H38" s="240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45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8"/>
  <sheetViews>
    <sheetView zoomScale="170" zoomScaleNormal="170" workbookViewId="0">
      <pane xSplit="1" ySplit="8" topLeftCell="E44" activePane="bottomRight" state="frozen"/>
      <selection activeCell="F85" sqref="F85"/>
      <selection pane="topRight" activeCell="F85" sqref="F85"/>
      <selection pane="bottomLeft" activeCell="F85" sqref="F85"/>
      <selection pane="bottomRight" activeCell="L47" sqref="L47:L5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71"/>
      <c r="B1" s="1871"/>
      <c r="C1" s="1871"/>
      <c r="D1" s="1094"/>
      <c r="G1" s="1854" t="s">
        <v>414</v>
      </c>
      <c r="H1" s="1854"/>
      <c r="I1" s="1910" t="s">
        <v>1492</v>
      </c>
      <c r="J1" s="1910"/>
      <c r="K1" s="36"/>
      <c r="L1" s="36"/>
      <c r="M1" s="36"/>
      <c r="N1" s="36"/>
      <c r="O1" s="1854" t="s">
        <v>202</v>
      </c>
      <c r="P1" s="1854"/>
    </row>
    <row r="2" spans="1:16" ht="12" customHeight="1">
      <c r="A2" s="47"/>
      <c r="O2" s="1908" t="s">
        <v>24</v>
      </c>
      <c r="P2" s="1909"/>
    </row>
    <row r="3" spans="1:16" s="182" customFormat="1" ht="15" customHeight="1">
      <c r="A3" s="1839" t="s">
        <v>985</v>
      </c>
      <c r="B3" s="1899" t="s">
        <v>525</v>
      </c>
      <c r="C3" s="1899"/>
      <c r="D3" s="1900"/>
      <c r="E3" s="1907" t="s">
        <v>339</v>
      </c>
      <c r="F3" s="1899"/>
      <c r="G3" s="1899"/>
      <c r="H3" s="1899"/>
      <c r="I3" s="1899" t="s">
        <v>613</v>
      </c>
      <c r="J3" s="1899"/>
      <c r="K3" s="1899"/>
      <c r="L3" s="1131"/>
      <c r="M3" s="1883" t="s">
        <v>988</v>
      </c>
      <c r="N3" s="1883" t="s">
        <v>989</v>
      </c>
      <c r="O3" s="1897" t="s">
        <v>1493</v>
      </c>
      <c r="P3" s="1839" t="s">
        <v>985</v>
      </c>
    </row>
    <row r="4" spans="1:16" s="182" customFormat="1" ht="15" customHeight="1">
      <c r="A4" s="1840"/>
      <c r="B4" s="1901" t="s">
        <v>131</v>
      </c>
      <c r="C4" s="1883" t="s">
        <v>132</v>
      </c>
      <c r="D4" s="1883" t="s">
        <v>1112</v>
      </c>
      <c r="E4" s="1894" t="s">
        <v>187</v>
      </c>
      <c r="F4" s="1895"/>
      <c r="G4" s="1895"/>
      <c r="H4" s="1895"/>
      <c r="I4" s="1895"/>
      <c r="J4" s="1896"/>
      <c r="K4" s="1892" t="s">
        <v>987</v>
      </c>
      <c r="L4" s="1883" t="s">
        <v>623</v>
      </c>
      <c r="M4" s="1884"/>
      <c r="N4" s="1884"/>
      <c r="O4" s="1898"/>
      <c r="P4" s="1840"/>
    </row>
    <row r="5" spans="1:16" s="182" customFormat="1" ht="15" customHeight="1">
      <c r="A5" s="1840"/>
      <c r="B5" s="1902"/>
      <c r="C5" s="1884"/>
      <c r="D5" s="1884"/>
      <c r="E5" s="1888" t="s">
        <v>527</v>
      </c>
      <c r="F5" s="1889"/>
      <c r="G5" s="1890"/>
      <c r="H5" s="1903" t="s">
        <v>190</v>
      </c>
      <c r="I5" s="1904"/>
      <c r="J5" s="1901"/>
      <c r="K5" s="1893"/>
      <c r="L5" s="1884"/>
      <c r="M5" s="1884"/>
      <c r="N5" s="1884"/>
      <c r="O5" s="1898"/>
      <c r="P5" s="1840"/>
    </row>
    <row r="6" spans="1:16" s="182" customFormat="1" ht="15" customHeight="1">
      <c r="A6" s="1840"/>
      <c r="B6" s="1902"/>
      <c r="C6" s="1884"/>
      <c r="D6" s="1884"/>
      <c r="E6" s="1883" t="s">
        <v>131</v>
      </c>
      <c r="F6" s="1883" t="s">
        <v>132</v>
      </c>
      <c r="G6" s="1897" t="s">
        <v>1478</v>
      </c>
      <c r="H6" s="1786" t="s">
        <v>131</v>
      </c>
      <c r="I6" s="1786" t="s">
        <v>132</v>
      </c>
      <c r="J6" s="1905" t="s">
        <v>986</v>
      </c>
      <c r="K6" s="1893"/>
      <c r="L6" s="1884"/>
      <c r="M6" s="1884"/>
      <c r="N6" s="1884"/>
      <c r="O6" s="1898"/>
      <c r="P6" s="1840"/>
    </row>
    <row r="7" spans="1:16" s="182" customFormat="1" ht="15" customHeight="1">
      <c r="A7" s="1840"/>
      <c r="B7" s="1902"/>
      <c r="C7" s="1884"/>
      <c r="D7" s="1884"/>
      <c r="E7" s="1884"/>
      <c r="F7" s="1884"/>
      <c r="G7" s="1898"/>
      <c r="H7" s="1847"/>
      <c r="I7" s="1847"/>
      <c r="J7" s="1906"/>
      <c r="K7" s="1893"/>
      <c r="L7" s="1887"/>
      <c r="M7" s="1884"/>
      <c r="N7" s="1884"/>
      <c r="O7" s="1898"/>
      <c r="P7" s="1840"/>
    </row>
    <row r="8" spans="1:16" s="12" customFormat="1" ht="15" customHeight="1">
      <c r="A8" s="1841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41"/>
    </row>
    <row r="9" spans="1:16" ht="12.2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2.2" customHeight="1">
      <c r="A10" s="554" t="s">
        <v>198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198</v>
      </c>
    </row>
    <row r="11" spans="1:16" s="177" customFormat="1" ht="12.2" customHeight="1">
      <c r="A11" s="336" t="s">
        <v>789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789</v>
      </c>
    </row>
    <row r="12" spans="1:16" s="177" customFormat="1" ht="12.2" customHeight="1">
      <c r="A12" s="554" t="s">
        <v>905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905</v>
      </c>
    </row>
    <row r="13" spans="1:16" s="280" customFormat="1" ht="12.2" customHeight="1">
      <c r="A13" s="315" t="s">
        <v>1104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1104</v>
      </c>
    </row>
    <row r="14" spans="1:16" s="280" customFormat="1" ht="12.2" customHeight="1">
      <c r="A14" s="250" t="s">
        <v>1163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1163</v>
      </c>
    </row>
    <row r="15" spans="1:16" s="100" customFormat="1" ht="12.2" customHeight="1">
      <c r="A15" s="354" t="s">
        <v>1295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1295</v>
      </c>
    </row>
    <row r="16" spans="1:16" s="274" customFormat="1" ht="12.2" customHeight="1">
      <c r="A16" s="278" t="s">
        <v>1328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1328</v>
      </c>
    </row>
    <row r="17" spans="1:19" s="274" customFormat="1" ht="12.2" customHeight="1">
      <c r="A17" s="354" t="s">
        <v>1467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1467</v>
      </c>
    </row>
    <row r="18" spans="1:19" s="289" customFormat="1" ht="12.2" customHeight="1">
      <c r="A18" s="175" t="s">
        <v>1596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1596</v>
      </c>
    </row>
    <row r="19" spans="1:19" s="177" customFormat="1" ht="12.2" customHeight="1">
      <c r="A19" s="334" t="s">
        <v>1691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1691</v>
      </c>
    </row>
    <row r="20" spans="1:19" s="175" customFormat="1" ht="12.2" customHeight="1">
      <c r="A20" s="204" t="s">
        <v>1760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1760</v>
      </c>
    </row>
    <row r="21" spans="1:19" s="175" customFormat="1" ht="12.2" customHeight="1">
      <c r="A21" s="332" t="s">
        <v>603</v>
      </c>
      <c r="B21" s="317">
        <v>297266.40000000002</v>
      </c>
      <c r="C21" s="317">
        <v>13630.7</v>
      </c>
      <c r="D21" s="317">
        <f t="shared" ref="D21:D51" si="6">B21+C21</f>
        <v>310897.10000000003</v>
      </c>
      <c r="E21" s="317">
        <v>38923.9</v>
      </c>
      <c r="F21" s="317">
        <v>157771</v>
      </c>
      <c r="G21" s="317">
        <f t="shared" ref="G21:G51" si="7">E21+F21</f>
        <v>196694.9</v>
      </c>
      <c r="H21" s="317">
        <v>2502.6999999999998</v>
      </c>
      <c r="I21" s="317">
        <v>26555.599999999999</v>
      </c>
      <c r="J21" s="317">
        <f t="shared" ref="J21:J51" si="8">H21+I21</f>
        <v>29058.3</v>
      </c>
      <c r="K21" s="317">
        <f>5126.4+1090075.4</f>
        <v>1095201.7999999998</v>
      </c>
      <c r="L21" s="317">
        <f t="shared" ref="L21:L38" si="9">G21+J21+K21</f>
        <v>1320954.9999999998</v>
      </c>
      <c r="M21" s="317">
        <v>-226973.8</v>
      </c>
      <c r="N21" s="317">
        <f t="shared" ref="N21:N51" si="10">L21+M21</f>
        <v>1093981.1999999997</v>
      </c>
      <c r="O21" s="317">
        <f t="shared" ref="O21:O51" si="11">D21+N21</f>
        <v>1404878.2999999998</v>
      </c>
      <c r="P21" s="333" t="s">
        <v>603</v>
      </c>
      <c r="S21" s="815"/>
    </row>
    <row r="22" spans="1:19" s="175" customFormat="1" ht="12.2" customHeight="1">
      <c r="A22" s="175" t="s">
        <v>604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604</v>
      </c>
      <c r="S22" s="815"/>
    </row>
    <row r="23" spans="1:19" s="175" customFormat="1" ht="12.2" customHeight="1">
      <c r="A23" s="639" t="s">
        <v>598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598</v>
      </c>
      <c r="S23" s="815"/>
    </row>
    <row r="24" spans="1:19" s="175" customFormat="1" ht="12.2" customHeight="1">
      <c r="A24" s="175" t="s">
        <v>605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605</v>
      </c>
      <c r="S24" s="815"/>
    </row>
    <row r="25" spans="1:19" s="175" customFormat="1" ht="12.2" customHeight="1">
      <c r="A25" s="332" t="s">
        <v>606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606</v>
      </c>
      <c r="S25" s="815"/>
    </row>
    <row r="26" spans="1:19" s="175" customFormat="1" ht="12.2" customHeight="1">
      <c r="A26" s="175" t="s">
        <v>599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599</v>
      </c>
      <c r="S26" s="815"/>
    </row>
    <row r="27" spans="1:19" s="175" customFormat="1" ht="12.2" customHeight="1">
      <c r="A27" s="332" t="s">
        <v>607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607</v>
      </c>
      <c r="S27" s="815"/>
    </row>
    <row r="28" spans="1:19" s="175" customFormat="1" ht="12.2" customHeight="1">
      <c r="A28" s="175" t="s">
        <v>608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608</v>
      </c>
      <c r="S28" s="815"/>
    </row>
    <row r="29" spans="1:19" s="175" customFormat="1" ht="12.2" customHeight="1">
      <c r="A29" s="332" t="s">
        <v>600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600</v>
      </c>
      <c r="S29" s="815"/>
    </row>
    <row r="30" spans="1:19" s="175" customFormat="1" ht="12.2" customHeight="1">
      <c r="A30" s="175" t="s">
        <v>609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609</v>
      </c>
      <c r="S30" s="815"/>
    </row>
    <row r="31" spans="1:19" s="175" customFormat="1" ht="12.2" customHeight="1">
      <c r="A31" s="332" t="s">
        <v>610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610</v>
      </c>
      <c r="S31" s="815"/>
    </row>
    <row r="32" spans="1:19" s="175" customFormat="1" ht="12.2" customHeight="1">
      <c r="A32" s="152" t="s">
        <v>601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601</v>
      </c>
      <c r="Q32" s="815"/>
      <c r="S32" s="815"/>
    </row>
    <row r="33" spans="1:19" s="175" customFormat="1" ht="12.2" customHeight="1">
      <c r="A33" s="1173" t="s">
        <v>2160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2160</v>
      </c>
      <c r="Q33" s="815"/>
      <c r="S33" s="815"/>
    </row>
    <row r="34" spans="1:19" s="175" customFormat="1" ht="12.2" customHeight="1">
      <c r="A34" s="152" t="s">
        <v>603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603</v>
      </c>
      <c r="Q34" s="815"/>
      <c r="S34" s="815"/>
    </row>
    <row r="35" spans="1:19" s="175" customFormat="1" ht="12.2" customHeight="1">
      <c r="A35" s="340" t="s">
        <v>604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604</v>
      </c>
      <c r="Q35" s="815"/>
      <c r="S35" s="815"/>
    </row>
    <row r="36" spans="1:19" s="175" customFormat="1" ht="12.2" customHeight="1">
      <c r="A36" s="152" t="s">
        <v>598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598</v>
      </c>
      <c r="Q36" s="815"/>
      <c r="S36" s="815"/>
    </row>
    <row r="37" spans="1:19" s="175" customFormat="1" ht="12.2" customHeight="1">
      <c r="A37" s="340" t="s">
        <v>605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605</v>
      </c>
      <c r="Q37" s="815"/>
      <c r="R37" s="815"/>
    </row>
    <row r="38" spans="1:19" s="175" customFormat="1" ht="12.2" customHeight="1">
      <c r="A38" s="152" t="s">
        <v>606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606</v>
      </c>
      <c r="Q38" s="815"/>
      <c r="R38" s="815"/>
    </row>
    <row r="39" spans="1:19" s="175" customFormat="1" ht="12.2" customHeight="1">
      <c r="A39" s="340" t="s">
        <v>599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ref="L39:L44" si="13">G39+J39+K39</f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599</v>
      </c>
      <c r="Q39" s="815"/>
      <c r="R39" s="815"/>
    </row>
    <row r="40" spans="1:19" s="175" customFormat="1" ht="12.2" customHeight="1">
      <c r="A40" s="152" t="s">
        <v>607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13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607</v>
      </c>
      <c r="Q40" s="815"/>
      <c r="R40" s="815"/>
    </row>
    <row r="41" spans="1:19" s="175" customFormat="1" ht="12.2" customHeight="1">
      <c r="A41" s="340" t="s">
        <v>608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13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608</v>
      </c>
      <c r="Q41" s="815"/>
      <c r="R41" s="815"/>
    </row>
    <row r="42" spans="1:19" s="175" customFormat="1" ht="12.2" customHeight="1">
      <c r="A42" s="152" t="s">
        <v>600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600</v>
      </c>
      <c r="Q42" s="815"/>
      <c r="R42" s="815"/>
    </row>
    <row r="43" spans="1:19" s="175" customFormat="1" ht="12.2" customHeight="1">
      <c r="A43" s="340" t="s">
        <v>609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13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609</v>
      </c>
      <c r="Q43" s="815"/>
      <c r="R43" s="815"/>
    </row>
    <row r="44" spans="1:19" s="175" customFormat="1" ht="12.2" customHeight="1">
      <c r="A44" s="152" t="s">
        <v>610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13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610</v>
      </c>
      <c r="Q44" s="815"/>
      <c r="R44" s="815"/>
    </row>
    <row r="45" spans="1:19" s="175" customFormat="1" ht="12.2" customHeight="1">
      <c r="A45" s="340" t="s">
        <v>601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601</v>
      </c>
      <c r="Q45" s="815"/>
      <c r="R45" s="815"/>
    </row>
    <row r="46" spans="1:19" s="175" customFormat="1" ht="12.75" customHeight="1">
      <c r="A46" s="107" t="s">
        <v>2476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2476</v>
      </c>
      <c r="Q46" s="815"/>
      <c r="R46" s="815"/>
    </row>
    <row r="47" spans="1:19" s="175" customFormat="1" ht="12.2" customHeight="1">
      <c r="A47" s="340" t="s">
        <v>603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603</v>
      </c>
      <c r="Q47" s="815"/>
      <c r="R47" s="815"/>
    </row>
    <row r="48" spans="1:19" s="175" customFormat="1" ht="12.2" customHeight="1">
      <c r="A48" s="152" t="s">
        <v>604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>G48+J48+K48</f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604</v>
      </c>
      <c r="Q48" s="815"/>
      <c r="R48" s="815"/>
    </row>
    <row r="49" spans="1:18" s="175" customFormat="1" ht="12.2" customHeight="1">
      <c r="A49" s="340" t="s">
        <v>598</v>
      </c>
      <c r="B49" s="317">
        <v>318925.90000000002</v>
      </c>
      <c r="C49" s="317">
        <v>16403.7</v>
      </c>
      <c r="D49" s="317">
        <f t="shared" si="6"/>
        <v>335329.60000000003</v>
      </c>
      <c r="E49" s="317">
        <v>71663.399999999994</v>
      </c>
      <c r="F49" s="317">
        <v>220828.7</v>
      </c>
      <c r="G49" s="317">
        <f t="shared" si="7"/>
        <v>292492.09999999998</v>
      </c>
      <c r="H49" s="317">
        <v>3632.8</v>
      </c>
      <c r="I49" s="317">
        <v>34534.699999999997</v>
      </c>
      <c r="J49" s="317">
        <f t="shared" si="8"/>
        <v>38167.5</v>
      </c>
      <c r="K49" s="317">
        <f>6018.9+1373394.3</f>
        <v>1379413.2</v>
      </c>
      <c r="L49" s="317">
        <f>G49+J49+K49</f>
        <v>1710072.7999999998</v>
      </c>
      <c r="M49" s="317">
        <v>-322574.90000000002</v>
      </c>
      <c r="N49" s="317">
        <f t="shared" si="10"/>
        <v>1387497.9</v>
      </c>
      <c r="O49" s="317">
        <f t="shared" si="11"/>
        <v>1722827.5</v>
      </c>
      <c r="P49" s="333" t="s">
        <v>598</v>
      </c>
      <c r="Q49" s="815"/>
      <c r="R49" s="815"/>
    </row>
    <row r="50" spans="1:18" s="175" customFormat="1" ht="12.2" customHeight="1">
      <c r="A50" s="152" t="s">
        <v>605</v>
      </c>
      <c r="B50" s="252">
        <v>309398.3</v>
      </c>
      <c r="C50" s="252">
        <v>16736.2</v>
      </c>
      <c r="D50" s="252">
        <f t="shared" si="6"/>
        <v>326134.5</v>
      </c>
      <c r="E50" s="252">
        <v>83478.7</v>
      </c>
      <c r="F50" s="252">
        <v>221666.6</v>
      </c>
      <c r="G50" s="252">
        <f t="shared" si="7"/>
        <v>305145.3</v>
      </c>
      <c r="H50" s="252">
        <v>3631.7</v>
      </c>
      <c r="I50" s="252">
        <v>35160.5</v>
      </c>
      <c r="J50" s="252">
        <f t="shared" si="8"/>
        <v>38792.199999999997</v>
      </c>
      <c r="K50" s="252">
        <f>6147.8+1383000.6</f>
        <v>1389148.4000000001</v>
      </c>
      <c r="L50" s="252">
        <f>G50+J50+K50</f>
        <v>1733085.9000000001</v>
      </c>
      <c r="M50" s="252">
        <v>-332451.20000000001</v>
      </c>
      <c r="N50" s="252">
        <f t="shared" si="10"/>
        <v>1400634.7000000002</v>
      </c>
      <c r="O50" s="252">
        <f t="shared" si="11"/>
        <v>1726769.2000000002</v>
      </c>
      <c r="P50" s="228" t="s">
        <v>605</v>
      </c>
      <c r="Q50" s="815"/>
      <c r="R50" s="815"/>
    </row>
    <row r="51" spans="1:18" s="175" customFormat="1" ht="12.2" customHeight="1" thickBot="1">
      <c r="A51" s="1648" t="s">
        <v>606</v>
      </c>
      <c r="B51" s="695">
        <v>300465.40000000002</v>
      </c>
      <c r="C51" s="695">
        <v>18595.5</v>
      </c>
      <c r="D51" s="695">
        <f t="shared" si="6"/>
        <v>319060.90000000002</v>
      </c>
      <c r="E51" s="695">
        <v>91786.4</v>
      </c>
      <c r="F51" s="695">
        <v>207446.3</v>
      </c>
      <c r="G51" s="695">
        <f t="shared" si="7"/>
        <v>299232.69999999995</v>
      </c>
      <c r="H51" s="695">
        <v>3638.6</v>
      </c>
      <c r="I51" s="695">
        <v>35788.1</v>
      </c>
      <c r="J51" s="695">
        <f t="shared" si="8"/>
        <v>39426.699999999997</v>
      </c>
      <c r="K51" s="695">
        <f>6277.2+1400437.3</f>
        <v>1406714.5</v>
      </c>
      <c r="L51" s="695">
        <f>G51+J51+K51</f>
        <v>1745373.9</v>
      </c>
      <c r="M51" s="695">
        <v>-323962.40000000002</v>
      </c>
      <c r="N51" s="695">
        <f t="shared" si="10"/>
        <v>1421411.5</v>
      </c>
      <c r="O51" s="695">
        <f t="shared" si="11"/>
        <v>1740472.4</v>
      </c>
      <c r="P51" s="1650" t="s">
        <v>606</v>
      </c>
      <c r="Q51" s="815"/>
      <c r="R51" s="815"/>
    </row>
    <row r="52" spans="1:18" ht="10.5" customHeight="1">
      <c r="A52" s="621" t="s">
        <v>203</v>
      </c>
      <c r="B52" s="1882" t="s">
        <v>1479</v>
      </c>
      <c r="C52" s="1882"/>
      <c r="D52" s="1882"/>
      <c r="E52" s="1882"/>
      <c r="F52" s="1882"/>
      <c r="G52" s="1882"/>
      <c r="H52" s="1882"/>
      <c r="I52" s="621" t="s">
        <v>205</v>
      </c>
      <c r="J52" s="1882" t="s">
        <v>1128</v>
      </c>
      <c r="K52" s="1882"/>
      <c r="L52" s="1882"/>
      <c r="M52" s="1882"/>
      <c r="N52" s="1882"/>
      <c r="O52" s="1882"/>
      <c r="P52" s="1882"/>
      <c r="R52" s="41"/>
    </row>
    <row r="53" spans="1:18" ht="10.5" customHeight="1">
      <c r="A53" s="40"/>
      <c r="B53" s="1885" t="s">
        <v>1446</v>
      </c>
      <c r="C53" s="1885"/>
      <c r="D53" s="1885"/>
      <c r="E53" s="761"/>
      <c r="F53" s="1496"/>
      <c r="G53" s="1496" t="s">
        <v>1465</v>
      </c>
      <c r="H53" s="761"/>
      <c r="J53" s="1886" t="s">
        <v>1359</v>
      </c>
      <c r="K53" s="1886"/>
      <c r="L53" s="1886"/>
      <c r="M53" s="1886"/>
      <c r="N53" s="1886"/>
      <c r="O53" s="1886"/>
      <c r="P53" s="1886"/>
    </row>
    <row r="54" spans="1:18" ht="10.5" customHeight="1">
      <c r="B54" s="1122"/>
      <c r="C54" s="1122"/>
      <c r="D54" s="1122"/>
      <c r="E54" s="1122"/>
      <c r="F54" s="1527"/>
      <c r="G54" s="1527"/>
      <c r="H54" s="1101"/>
      <c r="I54" s="49" t="s">
        <v>204</v>
      </c>
      <c r="J54" s="1891" t="s">
        <v>1361</v>
      </c>
      <c r="K54" s="1891"/>
      <c r="L54" s="1891"/>
      <c r="M54" s="1891"/>
      <c r="N54" s="1891"/>
      <c r="Q54" s="177"/>
    </row>
    <row r="55" spans="1:18" ht="12.75" customHeight="1">
      <c r="F55" s="1527"/>
      <c r="G55" s="1527"/>
      <c r="J55" s="41"/>
      <c r="M55" s="41"/>
      <c r="N55" s="41"/>
      <c r="O55" s="41"/>
      <c r="P55" s="41"/>
      <c r="Q55" s="532"/>
    </row>
    <row r="56" spans="1:18" ht="12.75" customHeight="1">
      <c r="F56" s="1527"/>
      <c r="G56" s="41"/>
      <c r="J56" s="41"/>
      <c r="Q56" s="177"/>
    </row>
    <row r="57" spans="1:18" ht="12.75" customHeight="1">
      <c r="G57" s="41"/>
      <c r="H57" s="41"/>
      <c r="J57" s="41"/>
      <c r="Q57" s="177"/>
    </row>
    <row r="58" spans="1:18">
      <c r="G58" s="41"/>
      <c r="P58" s="532"/>
      <c r="Q58" s="177"/>
    </row>
    <row r="59" spans="1:18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532"/>
    </row>
    <row r="60" spans="1:18">
      <c r="D60" s="41"/>
      <c r="E60" s="90"/>
      <c r="H60" s="41"/>
      <c r="I60" s="90"/>
      <c r="J60" s="41"/>
      <c r="K60" s="41"/>
      <c r="L60" s="90"/>
      <c r="M60" s="90"/>
      <c r="O60" s="532"/>
      <c r="P60" s="532"/>
    </row>
    <row r="61" spans="1:18">
      <c r="D61" s="41"/>
      <c r="E61" s="90"/>
      <c r="J61" s="41"/>
      <c r="K61" s="90"/>
      <c r="L61" s="41"/>
      <c r="O61" s="189"/>
      <c r="P61" s="177"/>
    </row>
    <row r="62" spans="1:18">
      <c r="D62" s="90"/>
      <c r="H62" s="41"/>
      <c r="I62" s="41"/>
      <c r="K62" s="41"/>
      <c r="L62" s="90"/>
      <c r="M62" s="90"/>
    </row>
    <row r="63" spans="1:18">
      <c r="J63" s="41"/>
      <c r="K63" s="90"/>
      <c r="L63" s="41"/>
      <c r="M63" s="90"/>
    </row>
    <row r="64" spans="1:18">
      <c r="J64" s="41"/>
    </row>
    <row r="66" spans="2:16">
      <c r="L66" s="41"/>
      <c r="M66" s="90"/>
    </row>
    <row r="68" spans="2:16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</row>
    <row r="69" spans="2:16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O1:P1"/>
    <mergeCell ref="O2:P2"/>
    <mergeCell ref="O3:O7"/>
    <mergeCell ref="G1:H1"/>
    <mergeCell ref="M3:M7"/>
    <mergeCell ref="I1:J1"/>
    <mergeCell ref="N3:N7"/>
    <mergeCell ref="J54:N54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2:H52"/>
    <mergeCell ref="C4:C7"/>
    <mergeCell ref="J52:P52"/>
    <mergeCell ref="B53:D53"/>
    <mergeCell ref="J53:P53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45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8"/>
  <sheetViews>
    <sheetView zoomScale="130" zoomScaleNormal="130" workbookViewId="0">
      <pane xSplit="1" ySplit="5" topLeftCell="F41" activePane="bottomRight" state="frozen"/>
      <selection activeCell="F85" sqref="F85"/>
      <selection pane="topRight" activeCell="F85" sqref="F85"/>
      <selection pane="bottomLeft" activeCell="F85" sqref="F85"/>
      <selection pane="bottomRight" activeCell="M44" sqref="M44:M48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11" t="s">
        <v>880</v>
      </c>
      <c r="E1" s="1911"/>
      <c r="F1" s="1911"/>
      <c r="G1" s="1918" t="s">
        <v>476</v>
      </c>
      <c r="H1" s="1918"/>
      <c r="I1" s="1918"/>
      <c r="K1" s="1911" t="s">
        <v>359</v>
      </c>
      <c r="L1" s="1911"/>
    </row>
    <row r="2" spans="1:12" s="182" customFormat="1" ht="10.5" customHeight="1">
      <c r="F2" s="1421"/>
      <c r="K2" s="1919" t="s">
        <v>228</v>
      </c>
      <c r="L2" s="1919"/>
    </row>
    <row r="3" spans="1:12" s="184" customFormat="1" ht="22.5" customHeight="1">
      <c r="A3" s="1915" t="s">
        <v>990</v>
      </c>
      <c r="B3" s="1921" t="s">
        <v>206</v>
      </c>
      <c r="C3" s="1786" t="s">
        <v>993</v>
      </c>
      <c r="D3" s="1912" t="s">
        <v>424</v>
      </c>
      <c r="E3" s="1913"/>
      <c r="F3" s="1914"/>
      <c r="G3" s="1912" t="s">
        <v>426</v>
      </c>
      <c r="H3" s="1913"/>
      <c r="I3" s="1914"/>
      <c r="J3" s="1786" t="s">
        <v>843</v>
      </c>
      <c r="K3" s="1786" t="s">
        <v>992</v>
      </c>
      <c r="L3" s="1915" t="s">
        <v>991</v>
      </c>
    </row>
    <row r="4" spans="1:12" s="184" customFormat="1" ht="22.5" customHeight="1">
      <c r="A4" s="1916"/>
      <c r="B4" s="1830"/>
      <c r="C4" s="1787"/>
      <c r="D4" s="1420" t="s">
        <v>425</v>
      </c>
      <c r="E4" s="1420" t="s">
        <v>521</v>
      </c>
      <c r="F4" s="1420" t="s">
        <v>520</v>
      </c>
      <c r="G4" s="1420" t="s">
        <v>425</v>
      </c>
      <c r="H4" s="1420" t="s">
        <v>521</v>
      </c>
      <c r="I4" s="1420" t="s">
        <v>520</v>
      </c>
      <c r="J4" s="1787"/>
      <c r="K4" s="1787"/>
      <c r="L4" s="1916"/>
    </row>
    <row r="5" spans="1:12" s="561" customFormat="1" ht="12" customHeight="1">
      <c r="A5" s="1917"/>
      <c r="B5" s="1422">
        <v>1</v>
      </c>
      <c r="C5" s="560">
        <v>2</v>
      </c>
      <c r="D5" s="560">
        <v>3</v>
      </c>
      <c r="E5" s="560">
        <v>4</v>
      </c>
      <c r="F5" s="560" t="s">
        <v>207</v>
      </c>
      <c r="G5" s="560">
        <v>6</v>
      </c>
      <c r="H5" s="560">
        <v>7</v>
      </c>
      <c r="I5" s="560" t="s">
        <v>208</v>
      </c>
      <c r="J5" s="560">
        <v>9</v>
      </c>
      <c r="K5" s="560" t="s">
        <v>427</v>
      </c>
      <c r="L5" s="1917"/>
    </row>
    <row r="6" spans="1:12" ht="12.6" customHeight="1">
      <c r="A6" s="1459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520" t="s">
        <v>81</v>
      </c>
    </row>
    <row r="7" spans="1:12" ht="12.6" customHeight="1">
      <c r="A7" s="1519" t="s">
        <v>198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521" t="s">
        <v>198</v>
      </c>
    </row>
    <row r="8" spans="1:12" ht="12.6" customHeight="1">
      <c r="A8" s="1459" t="s">
        <v>789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520" t="s">
        <v>789</v>
      </c>
    </row>
    <row r="9" spans="1:12" ht="12.6" customHeight="1">
      <c r="A9" s="1519" t="s">
        <v>905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521" t="s">
        <v>905</v>
      </c>
    </row>
    <row r="10" spans="1:12" s="383" customFormat="1" ht="12.6" customHeight="1">
      <c r="A10" s="315" t="s">
        <v>1104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1104</v>
      </c>
    </row>
    <row r="11" spans="1:12" s="383" customFormat="1" ht="12.6" customHeight="1">
      <c r="A11" s="250" t="s">
        <v>1163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1163</v>
      </c>
    </row>
    <row r="12" spans="1:12" s="383" customFormat="1" ht="12.6" customHeight="1">
      <c r="A12" s="315" t="s">
        <v>1295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1295</v>
      </c>
    </row>
    <row r="13" spans="1:12" s="383" customFormat="1" ht="12.6" customHeight="1">
      <c r="A13" s="1517" t="s">
        <v>1328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1328</v>
      </c>
    </row>
    <row r="14" spans="1:12" s="383" customFormat="1" ht="12.6" customHeight="1">
      <c r="A14" s="1518" t="s">
        <v>1467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522" t="s">
        <v>1467</v>
      </c>
    </row>
    <row r="15" spans="1:12" s="243" customFormat="1" ht="12.6" customHeight="1">
      <c r="A15" s="424" t="s">
        <v>1596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1596</v>
      </c>
    </row>
    <row r="16" spans="1:12" ht="12.6" customHeight="1">
      <c r="A16" s="1506" t="s">
        <v>1691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1691</v>
      </c>
    </row>
    <row r="17" spans="1:16" ht="12.6" customHeight="1">
      <c r="A17" s="984" t="s">
        <v>1760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524" t="s">
        <v>1760</v>
      </c>
      <c r="N17" s="580"/>
    </row>
    <row r="18" spans="1:16" ht="12.6" customHeight="1">
      <c r="A18" s="438" t="s">
        <v>603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48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48" si="6">B18+C18+F18+I18+J18</f>
        <v>1320954.9999999998</v>
      </c>
      <c r="L18" s="1523" t="s">
        <v>603</v>
      </c>
      <c r="N18" s="580"/>
      <c r="O18" s="580"/>
    </row>
    <row r="19" spans="1:16" ht="12.6" customHeight="1">
      <c r="A19" s="424" t="s">
        <v>604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525" t="s">
        <v>604</v>
      </c>
      <c r="N19" s="580"/>
    </row>
    <row r="20" spans="1:16" ht="12.6" customHeight="1">
      <c r="A20" s="438" t="s">
        <v>598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523" t="s">
        <v>598</v>
      </c>
      <c r="N20" s="580"/>
    </row>
    <row r="21" spans="1:16" ht="12.6" customHeight="1">
      <c r="A21" s="424" t="s">
        <v>605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525" t="s">
        <v>605</v>
      </c>
      <c r="N21" s="580"/>
    </row>
    <row r="22" spans="1:16" s="526" customFormat="1" ht="12.6" customHeight="1">
      <c r="A22" s="438" t="s">
        <v>606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523" t="s">
        <v>606</v>
      </c>
      <c r="N22" s="580"/>
    </row>
    <row r="23" spans="1:16" s="526" customFormat="1" ht="12.6" customHeight="1">
      <c r="A23" s="424" t="s">
        <v>599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525" t="s">
        <v>599</v>
      </c>
      <c r="N23" s="580"/>
    </row>
    <row r="24" spans="1:16" s="526" customFormat="1" ht="12.6" customHeight="1">
      <c r="A24" s="438" t="s">
        <v>607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523" t="s">
        <v>607</v>
      </c>
      <c r="N24" s="580"/>
    </row>
    <row r="25" spans="1:16" s="526" customFormat="1" ht="12.6" customHeight="1">
      <c r="A25" s="424" t="s">
        <v>608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525" t="s">
        <v>608</v>
      </c>
      <c r="N25" s="580"/>
    </row>
    <row r="26" spans="1:16" s="526" customFormat="1" ht="12.6" customHeight="1">
      <c r="A26" s="438" t="s">
        <v>600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523" t="s">
        <v>600</v>
      </c>
      <c r="N26" s="580"/>
    </row>
    <row r="27" spans="1:16" s="526" customFormat="1" ht="12.6" customHeight="1">
      <c r="A27" s="424" t="s">
        <v>609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525" t="s">
        <v>609</v>
      </c>
      <c r="N27" s="580"/>
    </row>
    <row r="28" spans="1:16" s="526" customFormat="1" ht="12.6" customHeight="1">
      <c r="A28" s="438" t="s">
        <v>610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523" t="s">
        <v>610</v>
      </c>
      <c r="N28" s="580"/>
    </row>
    <row r="29" spans="1:16" s="526" customFormat="1" ht="12.6" customHeight="1">
      <c r="A29" s="424" t="s">
        <v>601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525" t="s">
        <v>601</v>
      </c>
      <c r="N29" s="580"/>
      <c r="O29" s="585"/>
      <c r="P29" s="585"/>
    </row>
    <row r="30" spans="1:16" s="526" customFormat="1" ht="12.6" customHeight="1">
      <c r="A30" s="1506" t="s">
        <v>2160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526" t="s">
        <v>2160</v>
      </c>
      <c r="N30" s="580"/>
      <c r="O30" s="585"/>
      <c r="P30" s="585"/>
    </row>
    <row r="31" spans="1:16" s="526" customFormat="1" ht="12.6" customHeight="1">
      <c r="A31" s="424" t="s">
        <v>603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525" t="s">
        <v>603</v>
      </c>
      <c r="M31" s="585"/>
      <c r="N31" s="580"/>
      <c r="O31" s="585"/>
      <c r="P31" s="585"/>
    </row>
    <row r="32" spans="1:16" s="526" customFormat="1" ht="12.6" customHeight="1">
      <c r="A32" s="438" t="s">
        <v>604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523" t="s">
        <v>604</v>
      </c>
      <c r="M32" s="585"/>
      <c r="N32" s="580"/>
      <c r="O32" s="585"/>
      <c r="P32" s="585"/>
    </row>
    <row r="33" spans="1:16" s="526" customFormat="1" ht="12.6" customHeight="1">
      <c r="A33" s="424" t="s">
        <v>598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525" t="s">
        <v>598</v>
      </c>
      <c r="M33" s="585"/>
      <c r="N33" s="580"/>
      <c r="O33" s="585"/>
      <c r="P33" s="585"/>
    </row>
    <row r="34" spans="1:16" s="526" customFormat="1" ht="12.6" customHeight="1">
      <c r="A34" s="438" t="s">
        <v>605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523" t="s">
        <v>605</v>
      </c>
      <c r="M34" s="585"/>
      <c r="N34" s="580"/>
      <c r="O34" s="585"/>
      <c r="P34" s="585"/>
    </row>
    <row r="35" spans="1:16" s="526" customFormat="1" ht="12.6" customHeight="1">
      <c r="A35" s="424" t="s">
        <v>606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525" t="s">
        <v>606</v>
      </c>
      <c r="M35" s="585"/>
      <c r="N35" s="580"/>
      <c r="O35" s="585"/>
      <c r="P35" s="585"/>
    </row>
    <row r="36" spans="1:16" s="526" customFormat="1" ht="12.6" customHeight="1">
      <c r="A36" s="438" t="s">
        <v>599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523" t="s">
        <v>599</v>
      </c>
      <c r="M36" s="585"/>
      <c r="N36" s="580"/>
      <c r="O36" s="585"/>
      <c r="P36" s="585"/>
    </row>
    <row r="37" spans="1:16" s="526" customFormat="1" ht="12.6" customHeight="1">
      <c r="A37" s="424" t="s">
        <v>607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525" t="s">
        <v>607</v>
      </c>
      <c r="M37" s="585"/>
      <c r="N37" s="580"/>
      <c r="O37" s="585"/>
      <c r="P37" s="585"/>
    </row>
    <row r="38" spans="1:16" s="526" customFormat="1" ht="12.6" customHeight="1">
      <c r="A38" s="438" t="s">
        <v>608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523" t="s">
        <v>608</v>
      </c>
      <c r="M38" s="585"/>
      <c r="N38" s="580"/>
      <c r="O38" s="585"/>
      <c r="P38" s="585"/>
    </row>
    <row r="39" spans="1:16" s="526" customFormat="1" ht="12.6" customHeight="1">
      <c r="A39" s="424" t="s">
        <v>600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525" t="s">
        <v>600</v>
      </c>
      <c r="M39" s="585"/>
      <c r="N39" s="580"/>
      <c r="O39" s="585"/>
      <c r="P39" s="585"/>
    </row>
    <row r="40" spans="1:16" s="526" customFormat="1" ht="12.6" customHeight="1">
      <c r="A40" s="438" t="s">
        <v>609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523" t="s">
        <v>609</v>
      </c>
      <c r="M40" s="585"/>
      <c r="N40" s="580"/>
      <c r="O40" s="585"/>
      <c r="P40" s="585"/>
    </row>
    <row r="41" spans="1:16" s="526" customFormat="1" ht="12.6" customHeight="1">
      <c r="A41" s="424" t="s">
        <v>610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525" t="s">
        <v>610</v>
      </c>
      <c r="M41" s="585"/>
      <c r="N41" s="580"/>
      <c r="O41" s="585"/>
      <c r="P41" s="585"/>
    </row>
    <row r="42" spans="1:16" s="526" customFormat="1" ht="12.6" customHeight="1">
      <c r="A42" s="438" t="s">
        <v>601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523" t="s">
        <v>601</v>
      </c>
      <c r="M42" s="585"/>
      <c r="N42" s="580"/>
      <c r="O42" s="585"/>
      <c r="P42" s="585"/>
    </row>
    <row r="43" spans="1:16" s="526" customFormat="1" ht="12.6" customHeight="1">
      <c r="A43" s="984" t="s">
        <v>2475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524" t="s">
        <v>2475</v>
      </c>
      <c r="M43" s="585"/>
      <c r="N43" s="580"/>
      <c r="O43" s="585"/>
      <c r="P43" s="585"/>
    </row>
    <row r="44" spans="1:16" s="526" customFormat="1" ht="12.6" customHeight="1">
      <c r="A44" s="438" t="s">
        <v>603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523" t="s">
        <v>603</v>
      </c>
      <c r="M44" s="585"/>
      <c r="N44" s="580"/>
      <c r="O44" s="585"/>
      <c r="P44" s="585"/>
    </row>
    <row r="45" spans="1:16" s="526" customFormat="1" ht="12.6" customHeight="1">
      <c r="A45" s="424" t="s">
        <v>604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>G45+H45</f>
        <v>1117025.7487602199</v>
      </c>
      <c r="J45" s="508">
        <v>228216.45819984522</v>
      </c>
      <c r="K45" s="508">
        <f t="shared" si="6"/>
        <v>1689522</v>
      </c>
      <c r="L45" s="1525" t="s">
        <v>604</v>
      </c>
      <c r="M45" s="585"/>
      <c r="N45" s="580"/>
      <c r="O45" s="585"/>
      <c r="P45" s="585"/>
    </row>
    <row r="46" spans="1:16" s="526" customFormat="1" ht="12.6" customHeight="1">
      <c r="A46" s="438" t="s">
        <v>598</v>
      </c>
      <c r="B46" s="503">
        <v>292492.09999999998</v>
      </c>
      <c r="C46" s="503">
        <v>0</v>
      </c>
      <c r="D46" s="503">
        <v>11942.828952817588</v>
      </c>
      <c r="E46" s="503">
        <v>43928.571986931711</v>
      </c>
      <c r="F46" s="503">
        <f t="shared" si="4"/>
        <v>55871.400939749299</v>
      </c>
      <c r="G46" s="503">
        <v>26210.394968135199</v>
      </c>
      <c r="H46" s="503">
        <v>1105628.2324140701</v>
      </c>
      <c r="I46" s="503">
        <f>G46+H46</f>
        <v>1131838.6273822053</v>
      </c>
      <c r="J46" s="503">
        <v>229870.67167804533</v>
      </c>
      <c r="K46" s="503">
        <f t="shared" si="6"/>
        <v>1710072.7999999998</v>
      </c>
      <c r="L46" s="1523" t="s">
        <v>598</v>
      </c>
      <c r="M46" s="585"/>
      <c r="N46" s="580"/>
      <c r="O46" s="585"/>
      <c r="P46" s="585"/>
    </row>
    <row r="47" spans="1:16" s="526" customFormat="1" ht="12.6" customHeight="1">
      <c r="A47" s="424" t="s">
        <v>605</v>
      </c>
      <c r="B47" s="508">
        <v>305145.3</v>
      </c>
      <c r="C47" s="508">
        <v>0</v>
      </c>
      <c r="D47" s="508">
        <v>11924.136422956502</v>
      </c>
      <c r="E47" s="508">
        <v>44670.385132438583</v>
      </c>
      <c r="F47" s="508">
        <f t="shared" si="4"/>
        <v>56594.521555395084</v>
      </c>
      <c r="G47" s="508">
        <v>26854.586889405498</v>
      </c>
      <c r="H47" s="508">
        <v>1112296.7015984501</v>
      </c>
      <c r="I47" s="508">
        <f>G47+H47</f>
        <v>1139151.2884878556</v>
      </c>
      <c r="J47" s="508">
        <v>232194.78995674942</v>
      </c>
      <c r="K47" s="508">
        <f t="shared" si="6"/>
        <v>1733085.9000000001</v>
      </c>
      <c r="L47" s="1525" t="s">
        <v>605</v>
      </c>
      <c r="M47" s="585"/>
      <c r="N47" s="580"/>
      <c r="O47" s="585"/>
      <c r="P47" s="585"/>
    </row>
    <row r="48" spans="1:16" s="526" customFormat="1" ht="12.6" customHeight="1" thickBot="1">
      <c r="A48" s="942" t="s">
        <v>606</v>
      </c>
      <c r="B48" s="1053">
        <v>299232.69999999995</v>
      </c>
      <c r="C48" s="1053">
        <v>0</v>
      </c>
      <c r="D48" s="1053">
        <v>11893.72067677919</v>
      </c>
      <c r="E48" s="1053">
        <v>46628.982973643127</v>
      </c>
      <c r="F48" s="1053">
        <f t="shared" si="4"/>
        <v>58522.703650422322</v>
      </c>
      <c r="G48" s="1053">
        <v>27517.246642374401</v>
      </c>
      <c r="H48" s="1053">
        <v>1124898.6327464001</v>
      </c>
      <c r="I48" s="1053">
        <f>G48+H48</f>
        <v>1152415.8793887745</v>
      </c>
      <c r="J48" s="1053">
        <v>235202.56853245184</v>
      </c>
      <c r="K48" s="1053">
        <f t="shared" si="6"/>
        <v>1745373.8515716486</v>
      </c>
      <c r="L48" s="1682" t="s">
        <v>606</v>
      </c>
      <c r="M48" s="585"/>
      <c r="N48" s="580"/>
      <c r="O48" s="585"/>
      <c r="P48" s="585"/>
    </row>
    <row r="49" spans="1:20" s="526" customFormat="1">
      <c r="A49" s="485" t="s">
        <v>1517</v>
      </c>
      <c r="B49" s="1920" t="s">
        <v>1546</v>
      </c>
      <c r="C49" s="1920"/>
      <c r="D49" s="1920"/>
      <c r="E49" s="1920"/>
      <c r="F49" s="1920"/>
      <c r="G49" s="486" t="s">
        <v>204</v>
      </c>
      <c r="H49" s="1922" t="s">
        <v>1361</v>
      </c>
      <c r="I49" s="1922"/>
      <c r="J49" s="1922"/>
      <c r="K49" s="1922"/>
      <c r="L49" s="1922"/>
      <c r="N49" s="580"/>
    </row>
    <row r="50" spans="1:20">
      <c r="A50" s="243"/>
      <c r="B50" s="1920" t="s">
        <v>2169</v>
      </c>
      <c r="C50" s="1920"/>
      <c r="D50" s="1920"/>
      <c r="E50" s="1920"/>
      <c r="F50" s="1920"/>
      <c r="G50" s="580"/>
      <c r="H50" s="580"/>
      <c r="I50" s="580"/>
      <c r="J50" s="674"/>
      <c r="K50" s="674"/>
      <c r="L50" s="674"/>
      <c r="M50" s="580"/>
      <c r="N50" s="580"/>
      <c r="O50" s="580"/>
    </row>
    <row r="51" spans="1:20">
      <c r="A51" s="526"/>
      <c r="B51" s="526"/>
      <c r="C51" s="585"/>
      <c r="D51" s="580"/>
      <c r="E51" s="585"/>
      <c r="F51" s="1623"/>
      <c r="G51" s="585"/>
      <c r="H51" s="585"/>
      <c r="I51" s="585"/>
      <c r="J51" s="674"/>
      <c r="L51" s="674"/>
      <c r="M51" s="580"/>
      <c r="N51" s="580"/>
    </row>
    <row r="52" spans="1:20">
      <c r="B52" s="585"/>
      <c r="C52" s="585"/>
      <c r="D52" s="580"/>
      <c r="E52" s="585"/>
      <c r="F52" s="1623"/>
      <c r="G52" s="585"/>
      <c r="H52" s="585"/>
      <c r="I52" s="585"/>
      <c r="J52" s="674"/>
      <c r="L52" s="674"/>
      <c r="M52" s="580"/>
      <c r="N52" s="580"/>
      <c r="O52" s="526"/>
      <c r="P52" s="526"/>
      <c r="Q52" s="526"/>
      <c r="R52" s="526"/>
      <c r="S52" s="526"/>
      <c r="T52" s="526"/>
    </row>
    <row r="53" spans="1:20">
      <c r="B53" s="585"/>
      <c r="C53" s="585"/>
      <c r="D53" s="580"/>
      <c r="E53" s="585"/>
      <c r="F53" s="1623"/>
      <c r="G53" s="585"/>
      <c r="H53" s="585"/>
      <c r="I53" s="585"/>
      <c r="J53" s="674"/>
      <c r="L53" s="674"/>
      <c r="M53" s="580"/>
      <c r="N53" s="580"/>
      <c r="O53" s="526"/>
      <c r="P53" s="526"/>
      <c r="Q53" s="526"/>
      <c r="R53" s="526"/>
      <c r="S53" s="526"/>
      <c r="T53" s="526"/>
    </row>
    <row r="54" spans="1:20">
      <c r="B54" s="585"/>
      <c r="C54" s="585"/>
      <c r="D54" s="580"/>
      <c r="E54" s="580"/>
      <c r="F54" s="1623"/>
      <c r="G54" s="585"/>
      <c r="H54" s="585"/>
      <c r="I54" s="585"/>
      <c r="J54" s="674"/>
      <c r="L54" s="674"/>
      <c r="M54" s="580"/>
    </row>
    <row r="55" spans="1:20">
      <c r="B55" s="580"/>
      <c r="C55" s="585"/>
      <c r="D55" s="580"/>
      <c r="E55" s="585"/>
      <c r="F55" s="1623"/>
      <c r="G55" s="585"/>
      <c r="H55" s="585"/>
      <c r="I55" s="585"/>
      <c r="J55" s="674"/>
      <c r="K55" s="674"/>
      <c r="L55" s="674"/>
    </row>
    <row r="56" spans="1:20" ht="12" customHeight="1">
      <c r="B56" s="580"/>
      <c r="C56" s="585"/>
      <c r="D56" s="580"/>
      <c r="E56" s="585"/>
      <c r="F56" s="1426"/>
      <c r="G56" s="585"/>
      <c r="H56" s="585"/>
      <c r="I56" s="585"/>
      <c r="J56" s="674"/>
      <c r="K56" s="674"/>
      <c r="L56" s="674"/>
      <c r="M56" s="580"/>
      <c r="N56" s="580"/>
      <c r="O56" s="580"/>
    </row>
    <row r="57" spans="1:20" ht="12.75" customHeight="1">
      <c r="C57" s="585"/>
      <c r="D57" s="580"/>
      <c r="E57" s="585"/>
      <c r="F57" s="1426"/>
      <c r="G57" s="585"/>
      <c r="H57" s="585"/>
      <c r="I57" s="585"/>
      <c r="J57" s="674"/>
      <c r="K57" s="674"/>
      <c r="L57" s="674"/>
      <c r="N57" s="580"/>
    </row>
    <row r="58" spans="1:20" ht="12" customHeight="1">
      <c r="C58" s="585"/>
      <c r="D58" s="580"/>
      <c r="E58" s="580"/>
      <c r="F58" s="1426"/>
      <c r="G58" s="580"/>
      <c r="H58" s="585"/>
      <c r="I58" s="585"/>
      <c r="J58" s="674"/>
      <c r="K58" s="674"/>
      <c r="L58" s="674"/>
    </row>
    <row r="59" spans="1:20" ht="12.75" customHeight="1">
      <c r="C59" s="585"/>
      <c r="D59" s="580"/>
      <c r="E59" s="580"/>
      <c r="F59" s="1426"/>
      <c r="G59" s="580"/>
      <c r="H59" s="585"/>
      <c r="I59" s="585"/>
      <c r="J59" s="580"/>
      <c r="K59" s="674"/>
      <c r="L59" s="674"/>
    </row>
    <row r="60" spans="1:20" ht="13.5" customHeight="1">
      <c r="C60" s="585"/>
      <c r="D60" s="580"/>
      <c r="E60" s="580"/>
      <c r="F60" s="1426"/>
      <c r="G60" s="580"/>
      <c r="H60" s="585"/>
      <c r="I60" s="585"/>
      <c r="J60" s="580"/>
      <c r="K60" s="674"/>
    </row>
    <row r="61" spans="1:20" ht="14.25" customHeight="1">
      <c r="C61" s="585"/>
      <c r="D61" s="580"/>
      <c r="E61" s="580"/>
      <c r="F61" s="1426"/>
      <c r="G61" s="580"/>
      <c r="H61" s="585"/>
      <c r="I61" s="585"/>
      <c r="J61" s="580"/>
      <c r="K61" s="674"/>
    </row>
    <row r="62" spans="1:20" ht="15" customHeight="1">
      <c r="C62" s="585"/>
      <c r="D62" s="580"/>
      <c r="E62" s="580"/>
      <c r="F62" s="1426"/>
      <c r="G62" s="580"/>
      <c r="H62" s="580"/>
      <c r="I62" s="585"/>
      <c r="J62" s="580"/>
      <c r="K62" s="674"/>
    </row>
    <row r="63" spans="1:20">
      <c r="D63" s="580"/>
      <c r="E63" s="580"/>
      <c r="F63" s="580"/>
      <c r="G63" s="580"/>
      <c r="H63" s="580"/>
      <c r="I63" s="580"/>
    </row>
    <row r="64" spans="1:20">
      <c r="D64" s="580"/>
      <c r="E64" s="580"/>
      <c r="F64" s="580"/>
      <c r="G64" s="580"/>
      <c r="H64" s="580"/>
      <c r="I64" s="580"/>
    </row>
    <row r="65" spans="4:11">
      <c r="D65" s="580"/>
      <c r="E65" s="580"/>
      <c r="F65" s="580"/>
      <c r="G65" s="580"/>
      <c r="H65" s="580"/>
      <c r="I65" s="580"/>
      <c r="J65" s="580"/>
      <c r="K65" s="580"/>
    </row>
    <row r="66" spans="4:11">
      <c r="D66" s="580"/>
      <c r="E66" s="580"/>
      <c r="F66" s="580"/>
      <c r="G66" s="580"/>
      <c r="H66" s="580"/>
      <c r="I66" s="580"/>
      <c r="J66" s="580"/>
    </row>
    <row r="67" spans="4:11">
      <c r="D67" s="580"/>
      <c r="E67" s="580"/>
      <c r="F67" s="580"/>
      <c r="G67" s="580"/>
      <c r="H67" s="580"/>
      <c r="I67" s="580"/>
      <c r="J67" s="580"/>
    </row>
    <row r="68" spans="4:11">
      <c r="D68" s="580"/>
      <c r="E68" s="580"/>
      <c r="F68" s="580"/>
      <c r="G68" s="580"/>
      <c r="H68" s="580"/>
      <c r="I68" s="580"/>
      <c r="J68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0:F50"/>
    <mergeCell ref="A3:A5"/>
    <mergeCell ref="J3:J4"/>
    <mergeCell ref="B49:F49"/>
    <mergeCell ref="B3:B4"/>
    <mergeCell ref="C3:C4"/>
    <mergeCell ref="H49:L49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45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8"/>
  <sheetViews>
    <sheetView zoomScale="180" zoomScaleNormal="18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D53" sqref="D53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54" t="s">
        <v>1391</v>
      </c>
      <c r="B1" s="1854"/>
      <c r="C1" s="1854"/>
      <c r="D1" s="1854"/>
      <c r="E1" s="1854"/>
      <c r="F1" s="1854" t="s">
        <v>212</v>
      </c>
      <c r="G1" s="1854"/>
    </row>
    <row r="2" spans="1:9" s="42" customFormat="1" ht="12">
      <c r="F2" s="1834" t="s">
        <v>24</v>
      </c>
      <c r="G2" s="1925"/>
    </row>
    <row r="3" spans="1:9" s="425" customFormat="1" ht="15" customHeight="1">
      <c r="A3" s="1789" t="s">
        <v>994</v>
      </c>
      <c r="B3" s="1786" t="s">
        <v>906</v>
      </c>
      <c r="C3" s="1786" t="s">
        <v>219</v>
      </c>
      <c r="D3" s="1792" t="s">
        <v>210</v>
      </c>
      <c r="E3" s="1793"/>
      <c r="F3" s="1793"/>
      <c r="G3" s="1786" t="s">
        <v>891</v>
      </c>
    </row>
    <row r="4" spans="1:9" s="425" customFormat="1" ht="12.75" customHeight="1">
      <c r="A4" s="1790"/>
      <c r="B4" s="1847"/>
      <c r="C4" s="1924"/>
      <c r="D4" s="1912" t="s">
        <v>211</v>
      </c>
      <c r="E4" s="1913"/>
      <c r="F4" s="1815" t="s">
        <v>1342</v>
      </c>
      <c r="G4" s="1847"/>
    </row>
    <row r="5" spans="1:9" s="184" customFormat="1" ht="19.5" customHeight="1">
      <c r="A5" s="1790"/>
      <c r="B5" s="1847"/>
      <c r="C5" s="1924"/>
      <c r="D5" s="1786" t="s">
        <v>2586</v>
      </c>
      <c r="E5" s="1786" t="s">
        <v>209</v>
      </c>
      <c r="F5" s="1926"/>
      <c r="G5" s="1847"/>
    </row>
    <row r="6" spans="1:9" s="184" customFormat="1" ht="14.25" customHeight="1">
      <c r="A6" s="1790"/>
      <c r="B6" s="1787"/>
      <c r="C6" s="1923"/>
      <c r="D6" s="1787"/>
      <c r="E6" s="1923"/>
      <c r="F6" s="1816"/>
      <c r="G6" s="1787"/>
    </row>
    <row r="7" spans="1:9" s="20" customFormat="1" ht="10.5" customHeight="1">
      <c r="A7" s="179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2.2" customHeight="1">
      <c r="A9" s="332" t="s">
        <v>198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2.2" customHeight="1">
      <c r="A10" s="175" t="s">
        <v>789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2.2" customHeight="1">
      <c r="A11" s="315" t="s">
        <v>905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2.2" customHeight="1">
      <c r="A12" s="552" t="s">
        <v>1104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2.2" customHeight="1">
      <c r="A13" s="325" t="s">
        <v>1163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2.2" customHeight="1">
      <c r="A14" s="250" t="s">
        <v>1295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2.2" customHeight="1">
      <c r="A15" s="315" t="s">
        <v>1328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2.2" customHeight="1">
      <c r="A16" s="250" t="s">
        <v>1467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2.2" customHeight="1">
      <c r="A17" s="354" t="s">
        <v>1596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2.2" customHeight="1">
      <c r="A18" s="204" t="s">
        <v>1691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2.2" customHeight="1">
      <c r="A19" s="334" t="s">
        <v>1760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5"/>
    </row>
    <row r="20" spans="1:10" s="175" customFormat="1" ht="12.2" customHeight="1">
      <c r="A20" s="175" t="s">
        <v>603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37" si="1">B20+C20+D20+F20</f>
        <v>291913.3</v>
      </c>
      <c r="I20" s="815"/>
      <c r="J20" s="815"/>
    </row>
    <row r="21" spans="1:10" s="175" customFormat="1" ht="12.2" customHeight="1">
      <c r="A21" s="332" t="s">
        <v>604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5"/>
      <c r="J21" s="815"/>
    </row>
    <row r="22" spans="1:10" s="175" customFormat="1" ht="12.2" customHeight="1">
      <c r="A22" s="175" t="s">
        <v>598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5"/>
      <c r="J22" s="815"/>
    </row>
    <row r="23" spans="1:10" s="175" customFormat="1" ht="12.2" customHeight="1">
      <c r="A23" s="332" t="s">
        <v>605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5"/>
      <c r="J23" s="815"/>
    </row>
    <row r="24" spans="1:10" s="175" customFormat="1" ht="12.2" customHeight="1">
      <c r="A24" s="175" t="s">
        <v>606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5"/>
      <c r="J24" s="815"/>
    </row>
    <row r="25" spans="1:10" s="175" customFormat="1" ht="12.2" customHeight="1">
      <c r="A25" s="332" t="s">
        <v>599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5"/>
      <c r="J25" s="815"/>
    </row>
    <row r="26" spans="1:10" s="175" customFormat="1" ht="12.2" customHeight="1">
      <c r="A26" s="175" t="s">
        <v>607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5"/>
      <c r="J26" s="815"/>
    </row>
    <row r="27" spans="1:10" s="175" customFormat="1" ht="12.2" customHeight="1">
      <c r="A27" s="332" t="s">
        <v>608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5"/>
      <c r="J27" s="815"/>
    </row>
    <row r="28" spans="1:10" s="175" customFormat="1" ht="12.2" customHeight="1">
      <c r="A28" s="175" t="s">
        <v>600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5"/>
      <c r="J28" s="815"/>
    </row>
    <row r="29" spans="1:10" s="175" customFormat="1" ht="12.2" customHeight="1">
      <c r="A29" s="332" t="s">
        <v>609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5"/>
      <c r="J29" s="815"/>
    </row>
    <row r="30" spans="1:10" s="175" customFormat="1" ht="12.2" customHeight="1">
      <c r="A30" s="175" t="s">
        <v>610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5"/>
      <c r="J30" s="815"/>
    </row>
    <row r="31" spans="1:10" s="175" customFormat="1" ht="12.2" customHeight="1">
      <c r="A31" s="332" t="s">
        <v>601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5"/>
      <c r="J31" s="815"/>
    </row>
    <row r="32" spans="1:10" s="175" customFormat="1" ht="12.2" customHeight="1">
      <c r="A32" s="204" t="s">
        <v>2160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5"/>
    </row>
    <row r="33" spans="1:10" s="175" customFormat="1" ht="12.2" customHeight="1">
      <c r="A33" s="332" t="s">
        <v>603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5"/>
      <c r="J33" s="815"/>
    </row>
    <row r="34" spans="1:10" s="175" customFormat="1" ht="12.2" customHeight="1">
      <c r="A34" s="175" t="s">
        <v>604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5"/>
      <c r="J34" s="815"/>
    </row>
    <row r="35" spans="1:10" s="175" customFormat="1" ht="12.2" customHeight="1">
      <c r="A35" s="332" t="s">
        <v>598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5"/>
      <c r="J35" s="815"/>
    </row>
    <row r="36" spans="1:10" s="175" customFormat="1" ht="12.2" customHeight="1">
      <c r="A36" s="175" t="s">
        <v>605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5"/>
    </row>
    <row r="37" spans="1:10" s="175" customFormat="1" ht="12.2" customHeight="1">
      <c r="A37" s="332" t="s">
        <v>606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5"/>
    </row>
    <row r="38" spans="1:10" s="175" customFormat="1" ht="12.2" customHeight="1">
      <c r="A38" s="175" t="s">
        <v>599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ref="G38:G50" si="3">B38+C38+D38+F38</f>
        <v>323666.3</v>
      </c>
      <c r="I38" s="815"/>
    </row>
    <row r="39" spans="1:10" s="175" customFormat="1" ht="12.2" customHeight="1">
      <c r="A39" s="332" t="s">
        <v>607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3"/>
        <v>323298.90000000002</v>
      </c>
      <c r="I39" s="815"/>
    </row>
    <row r="40" spans="1:10" s="175" customFormat="1" ht="12.2" customHeight="1">
      <c r="A40" s="175" t="s">
        <v>608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3"/>
        <v>322285.09999999998</v>
      </c>
      <c r="I40" s="815"/>
    </row>
    <row r="41" spans="1:10" s="175" customFormat="1" ht="12.2" customHeight="1">
      <c r="A41" s="332" t="s">
        <v>600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3"/>
        <v>321156.20000000007</v>
      </c>
      <c r="I41" s="815"/>
    </row>
    <row r="42" spans="1:10" s="175" customFormat="1" ht="12.2" customHeight="1">
      <c r="A42" s="175" t="s">
        <v>609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3"/>
        <v>339789.3</v>
      </c>
      <c r="I42" s="815"/>
    </row>
    <row r="43" spans="1:10" s="175" customFormat="1" ht="12.2" customHeight="1">
      <c r="A43" s="332" t="s">
        <v>610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3"/>
        <v>330829.40000000002</v>
      </c>
      <c r="I43" s="815"/>
    </row>
    <row r="44" spans="1:10" s="175" customFormat="1" ht="12.2" customHeight="1">
      <c r="A44" s="175" t="s">
        <v>601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5"/>
    </row>
    <row r="45" spans="1:10" s="175" customFormat="1" ht="12.2" customHeight="1">
      <c r="A45" s="334" t="s">
        <v>2476</v>
      </c>
      <c r="B45" s="503"/>
      <c r="C45" s="503"/>
      <c r="D45" s="503"/>
      <c r="E45" s="503"/>
      <c r="F45" s="503"/>
      <c r="G45" s="503"/>
      <c r="I45" s="815"/>
    </row>
    <row r="46" spans="1:10" s="175" customFormat="1" ht="12.2" customHeight="1">
      <c r="A46" s="175" t="s">
        <v>603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3"/>
        <v>344931</v>
      </c>
      <c r="I46" s="815"/>
    </row>
    <row r="47" spans="1:10" s="175" customFormat="1" ht="12.2" customHeight="1">
      <c r="A47" s="332" t="s">
        <v>604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3"/>
        <v>341336.5</v>
      </c>
      <c r="I47" s="815"/>
    </row>
    <row r="48" spans="1:10" s="175" customFormat="1" ht="12.2" customHeight="1">
      <c r="A48" s="175" t="s">
        <v>598</v>
      </c>
      <c r="B48" s="508">
        <v>239998.2</v>
      </c>
      <c r="C48" s="508">
        <v>21638.5</v>
      </c>
      <c r="D48" s="508">
        <v>77791.399999999994</v>
      </c>
      <c r="E48" s="508">
        <v>9161.6</v>
      </c>
      <c r="F48" s="508">
        <v>652.30000000000007</v>
      </c>
      <c r="G48" s="508">
        <f t="shared" si="3"/>
        <v>340080.39999999997</v>
      </c>
      <c r="I48" s="815"/>
    </row>
    <row r="49" spans="1:9" s="175" customFormat="1" ht="12.2" customHeight="1">
      <c r="A49" s="332" t="s">
        <v>605</v>
      </c>
      <c r="B49" s="503">
        <v>236114.2</v>
      </c>
      <c r="C49" s="503">
        <v>21959</v>
      </c>
      <c r="D49" s="503">
        <v>76791.7</v>
      </c>
      <c r="E49" s="503">
        <v>8451.1</v>
      </c>
      <c r="F49" s="503">
        <v>611.70000000000005</v>
      </c>
      <c r="G49" s="503">
        <f t="shared" si="3"/>
        <v>335476.60000000003</v>
      </c>
      <c r="I49" s="815"/>
    </row>
    <row r="50" spans="1:9" s="175" customFormat="1" ht="12.2" customHeight="1" thickBot="1">
      <c r="A50" s="1669" t="s">
        <v>606</v>
      </c>
      <c r="B50" s="1649">
        <v>252982</v>
      </c>
      <c r="C50" s="1649">
        <v>21617.5</v>
      </c>
      <c r="D50" s="1649">
        <v>71164</v>
      </c>
      <c r="E50" s="1649">
        <v>7515</v>
      </c>
      <c r="F50" s="1649">
        <v>602.29999999999995</v>
      </c>
      <c r="G50" s="1649">
        <f t="shared" si="3"/>
        <v>346365.8</v>
      </c>
      <c r="I50" s="815"/>
    </row>
    <row r="51" spans="1:9" s="9" customFormat="1" ht="10.5" customHeight="1">
      <c r="A51" s="713"/>
      <c r="B51" s="287" t="s">
        <v>1461</v>
      </c>
      <c r="C51" s="287"/>
      <c r="D51" s="287"/>
      <c r="E51" s="287"/>
      <c r="F51" s="287"/>
      <c r="G51" s="287"/>
      <c r="H51" s="154"/>
      <c r="I51" s="815"/>
    </row>
    <row r="52" spans="1:9" s="9" customFormat="1" ht="11.25" customHeight="1">
      <c r="A52" s="479" t="s">
        <v>1505</v>
      </c>
      <c r="B52" s="1891" t="s">
        <v>1363</v>
      </c>
      <c r="C52" s="1891"/>
      <c r="D52" s="1891"/>
      <c r="E52" s="707"/>
      <c r="F52" s="1149" t="s">
        <v>1465</v>
      </c>
      <c r="G52" s="707"/>
      <c r="I52" s="815"/>
    </row>
    <row r="53" spans="1:9">
      <c r="A53" s="9"/>
      <c r="B53" s="57"/>
      <c r="C53" s="1408"/>
      <c r="D53" s="57"/>
      <c r="E53" s="57"/>
      <c r="F53" s="57"/>
      <c r="G53" s="57"/>
    </row>
    <row r="54" spans="1:9">
      <c r="A54" s="9"/>
      <c r="B54" s="9"/>
      <c r="C54" s="1408"/>
      <c r="D54" s="9"/>
      <c r="E54" s="9"/>
      <c r="F54" s="9"/>
      <c r="G54" s="9"/>
    </row>
    <row r="55" spans="1:9">
      <c r="A55" s="9"/>
      <c r="B55" s="68"/>
      <c r="C55" s="9"/>
      <c r="D55" s="9"/>
      <c r="E55" s="9"/>
      <c r="F55" s="9"/>
      <c r="G55" s="154"/>
    </row>
    <row r="57" spans="1:9">
      <c r="G57" s="41"/>
    </row>
    <row r="58" spans="1:9">
      <c r="G58" s="41"/>
    </row>
    <row r="68" spans="2:7">
      <c r="B68" s="41"/>
      <c r="C68" s="41"/>
      <c r="D68" s="41"/>
      <c r="E68" s="41"/>
      <c r="F68" s="41"/>
      <c r="G68" s="41"/>
    </row>
    <row r="69" spans="2:7">
      <c r="B69" s="41"/>
      <c r="C69" s="41"/>
      <c r="D69" s="41"/>
      <c r="E69" s="41"/>
      <c r="F69" s="41"/>
      <c r="G69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D5:D6"/>
    <mergeCell ref="D4:E4"/>
    <mergeCell ref="D3:F3"/>
    <mergeCell ref="B52:D52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45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6"/>
  <sheetViews>
    <sheetView zoomScale="200" zoomScaleNormal="20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0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29" t="s">
        <v>1392</v>
      </c>
      <c r="B1" s="1929"/>
      <c r="C1" s="1929"/>
      <c r="D1" s="1929"/>
      <c r="E1" s="1929"/>
      <c r="F1" s="1929"/>
      <c r="G1" s="1929"/>
      <c r="H1" s="1929"/>
      <c r="I1" s="1927" t="s">
        <v>213</v>
      </c>
      <c r="J1" s="1927"/>
    </row>
    <row r="2" spans="1:12" s="182" customFormat="1" ht="12">
      <c r="I2" s="1928" t="s">
        <v>24</v>
      </c>
      <c r="J2" s="1928"/>
    </row>
    <row r="3" spans="1:12" s="425" customFormat="1" ht="15" customHeight="1">
      <c r="A3" s="1832" t="s">
        <v>1016</v>
      </c>
      <c r="B3" s="1921" t="s">
        <v>214</v>
      </c>
      <c r="C3" s="1857" t="s">
        <v>526</v>
      </c>
      <c r="D3" s="1932"/>
      <c r="E3" s="1932"/>
      <c r="F3" s="1932"/>
      <c r="G3" s="1933"/>
      <c r="H3" s="1786" t="s">
        <v>995</v>
      </c>
      <c r="I3" s="1786" t="s">
        <v>217</v>
      </c>
      <c r="J3" s="1786" t="s">
        <v>218</v>
      </c>
    </row>
    <row r="4" spans="1:12" s="425" customFormat="1" ht="12.75" customHeight="1">
      <c r="A4" s="1832"/>
      <c r="B4" s="1930"/>
      <c r="C4" s="1786" t="s">
        <v>853</v>
      </c>
      <c r="D4" s="1786" t="s">
        <v>528</v>
      </c>
      <c r="E4" s="1786" t="s">
        <v>622</v>
      </c>
      <c r="F4" s="1786" t="s">
        <v>215</v>
      </c>
      <c r="G4" s="1786" t="s">
        <v>216</v>
      </c>
      <c r="H4" s="1847"/>
      <c r="I4" s="1847"/>
      <c r="J4" s="1847"/>
    </row>
    <row r="5" spans="1:12" s="184" customFormat="1" ht="19.5" customHeight="1">
      <c r="A5" s="1832"/>
      <c r="B5" s="1930"/>
      <c r="C5" s="1847"/>
      <c r="D5" s="1847"/>
      <c r="E5" s="1924"/>
      <c r="F5" s="1847"/>
      <c r="G5" s="1847"/>
      <c r="H5" s="1847"/>
      <c r="I5" s="1847"/>
      <c r="J5" s="1847"/>
    </row>
    <row r="6" spans="1:12" s="184" customFormat="1" ht="14.25" customHeight="1">
      <c r="A6" s="1832"/>
      <c r="B6" s="1931"/>
      <c r="C6" s="1787"/>
      <c r="D6" s="1787"/>
      <c r="E6" s="1923"/>
      <c r="F6" s="1787"/>
      <c r="G6" s="1787"/>
      <c r="H6" s="1787"/>
      <c r="I6" s="1787"/>
      <c r="J6" s="1787"/>
    </row>
    <row r="7" spans="1:12" s="248" customFormat="1" ht="10.5" customHeight="1">
      <c r="A7" s="1832"/>
      <c r="B7" s="1132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2.2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2.2" customHeight="1">
      <c r="A9" s="639" t="s">
        <v>198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2.2" customHeight="1">
      <c r="A10" s="263" t="s">
        <v>789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2.2" customHeight="1">
      <c r="A11" s="639" t="s">
        <v>905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2.2" customHeight="1">
      <c r="A12" s="552" t="s">
        <v>1104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2.2" customHeight="1">
      <c r="A13" s="325" t="s">
        <v>1163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2.2" customHeight="1">
      <c r="A14" s="250" t="s">
        <v>1295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2.2" customHeight="1">
      <c r="A15" s="315" t="s">
        <v>1328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2.2" customHeight="1">
      <c r="A16" s="250" t="s">
        <v>1467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2.2" customHeight="1">
      <c r="A17" s="354" t="s">
        <v>1596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2.2" customHeight="1">
      <c r="A18" s="204" t="s">
        <v>1691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2.2" customHeight="1">
      <c r="A19" s="334" t="s">
        <v>1760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2.2" customHeight="1">
      <c r="A20" s="175" t="s">
        <v>603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50" si="4">C20+D20+E20+F20</f>
        <v>60542.9</v>
      </c>
      <c r="H20" s="508">
        <v>-65896</v>
      </c>
      <c r="I20" s="508">
        <f t="shared" ref="I20:I50" si="5">G20+H20</f>
        <v>-5353.0999999999985</v>
      </c>
      <c r="J20" s="508">
        <f t="shared" ref="J20:J50" si="6">B20+I20</f>
        <v>291913.30000000005</v>
      </c>
      <c r="K20" s="508"/>
      <c r="L20" s="189"/>
      <c r="M20" s="189"/>
    </row>
    <row r="21" spans="1:13" ht="12.2" customHeight="1">
      <c r="A21" s="332" t="s">
        <v>604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2.2" customHeight="1">
      <c r="A22" s="175" t="s">
        <v>598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2.2" customHeight="1">
      <c r="A23" s="332" t="s">
        <v>605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2.2" customHeight="1">
      <c r="A24" s="175" t="s">
        <v>606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2.2" customHeight="1">
      <c r="A25" s="332" t="s">
        <v>599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2.2" customHeight="1">
      <c r="A26" s="175" t="s">
        <v>607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2.2" customHeight="1">
      <c r="A27" s="332" t="s">
        <v>608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2.2" customHeight="1">
      <c r="A28" s="175" t="s">
        <v>600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2.2" customHeight="1">
      <c r="A29" s="332" t="s">
        <v>609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2.2" customHeight="1">
      <c r="A30" s="175" t="s">
        <v>610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2.2" customHeight="1">
      <c r="A31" s="332" t="s">
        <v>601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2.2" customHeight="1">
      <c r="A32" s="204" t="s">
        <v>2160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2.2" customHeight="1">
      <c r="A33" s="332" t="s">
        <v>603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2.2" customHeight="1">
      <c r="A34" s="175" t="s">
        <v>604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2.2" customHeight="1">
      <c r="A35" s="332" t="s">
        <v>598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2.2" customHeight="1">
      <c r="A36" s="175" t="s">
        <v>605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2.2" customHeight="1">
      <c r="A37" s="332" t="s">
        <v>606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2.2" customHeight="1">
      <c r="A38" s="175" t="s">
        <v>599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2.2" customHeight="1">
      <c r="A39" s="332" t="s">
        <v>607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2.2" customHeight="1">
      <c r="A40" s="175" t="s">
        <v>608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2.2" customHeight="1">
      <c r="A41" s="332" t="s">
        <v>600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2.2" customHeight="1">
      <c r="A42" s="175" t="s">
        <v>609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2.2" customHeight="1">
      <c r="A43" s="332" t="s">
        <v>610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2.2" customHeight="1">
      <c r="A44" s="175" t="s">
        <v>601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2.2" customHeight="1">
      <c r="A45" s="334" t="s">
        <v>2476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2.2" customHeight="1">
      <c r="A46" s="175" t="s">
        <v>603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2.2" customHeight="1">
      <c r="A47" s="332" t="s">
        <v>604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2.2" customHeight="1">
      <c r="A48" s="175" t="s">
        <v>598</v>
      </c>
      <c r="B48" s="508">
        <v>318925.90000000002</v>
      </c>
      <c r="C48" s="508">
        <v>71663.399999999994</v>
      </c>
      <c r="D48" s="508">
        <v>3632.8</v>
      </c>
      <c r="E48" s="508">
        <v>6018.9</v>
      </c>
      <c r="F48" s="508">
        <v>27347.8</v>
      </c>
      <c r="G48" s="508">
        <f t="shared" si="4"/>
        <v>108662.9</v>
      </c>
      <c r="H48" s="508">
        <v>-87508.4</v>
      </c>
      <c r="I48" s="508">
        <f t="shared" si="5"/>
        <v>21154.5</v>
      </c>
      <c r="J48" s="508">
        <f t="shared" si="6"/>
        <v>340080.4</v>
      </c>
      <c r="K48" s="508"/>
      <c r="L48" s="189"/>
      <c r="M48" s="189"/>
    </row>
    <row r="49" spans="1:13" ht="12.2" customHeight="1">
      <c r="A49" s="332" t="s">
        <v>605</v>
      </c>
      <c r="B49" s="503">
        <v>309398.3</v>
      </c>
      <c r="C49" s="503">
        <v>83478.7</v>
      </c>
      <c r="D49" s="503">
        <v>3631.7</v>
      </c>
      <c r="E49" s="503">
        <v>6147.8</v>
      </c>
      <c r="F49" s="503">
        <v>23915.7</v>
      </c>
      <c r="G49" s="503">
        <f t="shared" si="4"/>
        <v>117173.9</v>
      </c>
      <c r="H49" s="503">
        <v>-91095.6</v>
      </c>
      <c r="I49" s="503">
        <f t="shared" si="5"/>
        <v>26078.299999999988</v>
      </c>
      <c r="J49" s="503">
        <f t="shared" si="6"/>
        <v>335476.59999999998</v>
      </c>
      <c r="K49" s="508"/>
      <c r="L49" s="189"/>
      <c r="M49" s="189"/>
    </row>
    <row r="50" spans="1:13" ht="12.2" customHeight="1" thickBot="1">
      <c r="A50" s="1669" t="s">
        <v>606</v>
      </c>
      <c r="B50" s="1649">
        <v>300465.40000000002</v>
      </c>
      <c r="C50" s="1649">
        <v>91786.4</v>
      </c>
      <c r="D50" s="1649">
        <v>3638.6</v>
      </c>
      <c r="E50" s="1649">
        <v>6277.2</v>
      </c>
      <c r="F50" s="1649">
        <v>36653.1</v>
      </c>
      <c r="G50" s="1649">
        <f t="shared" si="4"/>
        <v>138355.29999999999</v>
      </c>
      <c r="H50" s="1649">
        <v>-92454.9</v>
      </c>
      <c r="I50" s="1649">
        <f t="shared" si="5"/>
        <v>45900.399999999994</v>
      </c>
      <c r="J50" s="1649">
        <f t="shared" si="6"/>
        <v>346365.80000000005</v>
      </c>
      <c r="K50" s="508"/>
      <c r="L50" s="189"/>
      <c r="M50" s="189"/>
    </row>
    <row r="51" spans="1:13">
      <c r="A51" s="563" t="s">
        <v>1510</v>
      </c>
      <c r="B51" s="287" t="s">
        <v>1363</v>
      </c>
      <c r="C51" s="287"/>
      <c r="D51" s="287"/>
      <c r="E51" s="287"/>
      <c r="F51" s="287"/>
      <c r="G51" s="287"/>
      <c r="H51" s="287"/>
      <c r="I51" s="296" t="s">
        <v>1465</v>
      </c>
      <c r="J51" s="287"/>
      <c r="K51" s="189"/>
      <c r="L51" s="189"/>
    </row>
    <row r="52" spans="1:13">
      <c r="A52" s="243"/>
      <c r="B52" s="243"/>
      <c r="C52" s="243"/>
      <c r="D52" s="243"/>
      <c r="E52" s="243"/>
      <c r="F52" s="243"/>
      <c r="G52" s="243"/>
      <c r="H52" s="243"/>
      <c r="I52" s="243"/>
      <c r="J52" s="674"/>
      <c r="K52" s="189"/>
      <c r="L52" s="189"/>
    </row>
    <row r="53" spans="1:13">
      <c r="B53" s="243"/>
      <c r="L53" s="189"/>
    </row>
    <row r="56" spans="1:13">
      <c r="B56" s="189"/>
      <c r="C56" s="189"/>
      <c r="D56" s="189"/>
      <c r="E56" s="189"/>
      <c r="F56" s="189"/>
      <c r="G56" s="189"/>
      <c r="H56" s="189"/>
      <c r="I56" s="189"/>
      <c r="J56" s="189"/>
    </row>
    <row r="66" spans="2:10">
      <c r="B66" s="189"/>
      <c r="C66" s="189"/>
      <c r="D66" s="189"/>
      <c r="E66" s="189"/>
      <c r="F66" s="189"/>
      <c r="G66" s="189"/>
      <c r="H66" s="189"/>
      <c r="I66" s="189"/>
      <c r="J66" s="189"/>
    </row>
    <row r="67" spans="2:10">
      <c r="B67" s="189"/>
      <c r="C67" s="189"/>
      <c r="D67" s="189"/>
      <c r="E67" s="189"/>
      <c r="F67" s="189"/>
      <c r="G67" s="189"/>
      <c r="H67" s="189"/>
      <c r="I67" s="189"/>
      <c r="J67" s="189"/>
    </row>
    <row r="68" spans="2:10">
      <c r="B68" s="189"/>
      <c r="C68" s="189"/>
      <c r="D68" s="189"/>
      <c r="E68" s="189"/>
      <c r="F68" s="189"/>
      <c r="G68" s="189"/>
      <c r="H68" s="189"/>
      <c r="I68" s="189"/>
      <c r="J68" s="189"/>
    </row>
    <row r="69" spans="2:10">
      <c r="B69" s="189"/>
      <c r="C69" s="189"/>
      <c r="D69" s="189"/>
      <c r="E69" s="189"/>
      <c r="F69" s="189"/>
      <c r="G69" s="189"/>
      <c r="H69" s="189"/>
      <c r="I69" s="189"/>
      <c r="J69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  <row r="75" spans="2:10">
      <c r="B75" s="189"/>
      <c r="C75" s="189"/>
      <c r="D75" s="189"/>
      <c r="E75" s="189"/>
      <c r="F75" s="189"/>
      <c r="G75" s="189"/>
      <c r="H75" s="189"/>
      <c r="I75" s="189"/>
      <c r="J75" s="189"/>
    </row>
    <row r="76" spans="2:10">
      <c r="B76" s="189"/>
      <c r="C76" s="189"/>
      <c r="D76" s="189"/>
      <c r="E76" s="189"/>
      <c r="F76" s="189"/>
      <c r="G76" s="189"/>
      <c r="H76" s="189"/>
      <c r="I76" s="189"/>
      <c r="J76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45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8"/>
  <sheetViews>
    <sheetView zoomScale="180" zoomScaleNormal="18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F52" sqref="F52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1" style="177" bestFit="1" customWidth="1"/>
    <col min="23" max="23" width="10" style="177" bestFit="1" customWidth="1"/>
    <col min="24" max="24" width="11.5703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39" t="s">
        <v>474</v>
      </c>
      <c r="K1" s="1939"/>
      <c r="L1" s="1939"/>
      <c r="M1" s="1940" t="s">
        <v>1494</v>
      </c>
      <c r="N1" s="1940"/>
      <c r="O1" s="567"/>
      <c r="P1" s="567"/>
      <c r="Q1" s="567"/>
      <c r="R1" s="567"/>
      <c r="S1" s="1937" t="s">
        <v>152</v>
      </c>
      <c r="T1" s="1937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42" t="s">
        <v>24</v>
      </c>
      <c r="T2" s="1942"/>
    </row>
    <row r="3" spans="1:24" s="571" customFormat="1" ht="12.75" customHeight="1">
      <c r="A3" s="1944" t="s">
        <v>996</v>
      </c>
      <c r="B3" s="1938" t="s">
        <v>525</v>
      </c>
      <c r="C3" s="1938"/>
      <c r="D3" s="1938"/>
      <c r="E3" s="1938"/>
      <c r="F3" s="1953" t="s">
        <v>614</v>
      </c>
      <c r="G3" s="1943"/>
      <c r="H3" s="1943"/>
      <c r="I3" s="1943"/>
      <c r="J3" s="1943"/>
      <c r="K3" s="1943"/>
      <c r="L3" s="1943"/>
      <c r="M3" s="1943" t="s">
        <v>613</v>
      </c>
      <c r="N3" s="1943"/>
      <c r="O3" s="1943"/>
      <c r="P3" s="1125"/>
      <c r="Q3" s="1935" t="s">
        <v>998</v>
      </c>
      <c r="R3" s="1935" t="s">
        <v>999</v>
      </c>
      <c r="S3" s="1941" t="s">
        <v>1495</v>
      </c>
      <c r="T3" s="1950" t="s">
        <v>518</v>
      </c>
    </row>
    <row r="4" spans="1:24" s="572" customFormat="1" ht="15" customHeight="1">
      <c r="A4" s="1945"/>
      <c r="B4" s="1935" t="s">
        <v>854</v>
      </c>
      <c r="C4" s="1934" t="s">
        <v>165</v>
      </c>
      <c r="D4" s="1950" t="s">
        <v>395</v>
      </c>
      <c r="E4" s="1935" t="s">
        <v>855</v>
      </c>
      <c r="F4" s="1947" t="s">
        <v>440</v>
      </c>
      <c r="G4" s="1948"/>
      <c r="H4" s="1948"/>
      <c r="I4" s="1948"/>
      <c r="J4" s="1948"/>
      <c r="K4" s="1948"/>
      <c r="L4" s="1949"/>
      <c r="M4" s="1938" t="s">
        <v>622</v>
      </c>
      <c r="N4" s="1938"/>
      <c r="O4" s="1938"/>
      <c r="P4" s="1935" t="s">
        <v>997</v>
      </c>
      <c r="Q4" s="1935"/>
      <c r="R4" s="1935"/>
      <c r="S4" s="1941"/>
      <c r="T4" s="1951"/>
    </row>
    <row r="5" spans="1:24" s="572" customFormat="1" ht="15" customHeight="1">
      <c r="A5" s="1945"/>
      <c r="B5" s="1935"/>
      <c r="C5" s="1934"/>
      <c r="D5" s="1951"/>
      <c r="E5" s="1935"/>
      <c r="F5" s="1938" t="s">
        <v>1480</v>
      </c>
      <c r="G5" s="1938"/>
      <c r="H5" s="1938"/>
      <c r="I5" s="1938"/>
      <c r="J5" s="1938" t="s">
        <v>528</v>
      </c>
      <c r="K5" s="1938"/>
      <c r="L5" s="1938"/>
      <c r="M5" s="1950" t="s">
        <v>858</v>
      </c>
      <c r="N5" s="1950" t="s">
        <v>165</v>
      </c>
      <c r="O5" s="1950" t="s">
        <v>859</v>
      </c>
      <c r="P5" s="1935"/>
      <c r="Q5" s="1935"/>
      <c r="R5" s="1935"/>
      <c r="S5" s="1941"/>
      <c r="T5" s="1951"/>
    </row>
    <row r="6" spans="1:24" s="572" customFormat="1" ht="34.5" customHeight="1">
      <c r="A6" s="1945"/>
      <c r="B6" s="1935"/>
      <c r="C6" s="1934"/>
      <c r="D6" s="1952"/>
      <c r="E6" s="1935"/>
      <c r="F6" s="1095" t="s">
        <v>119</v>
      </c>
      <c r="G6" s="573" t="s">
        <v>165</v>
      </c>
      <c r="H6" s="1095" t="s">
        <v>1376</v>
      </c>
      <c r="I6" s="1095" t="s">
        <v>856</v>
      </c>
      <c r="J6" s="1095" t="s">
        <v>119</v>
      </c>
      <c r="K6" s="574" t="s">
        <v>165</v>
      </c>
      <c r="L6" s="1095" t="s">
        <v>857</v>
      </c>
      <c r="M6" s="1952"/>
      <c r="N6" s="1952"/>
      <c r="O6" s="1952"/>
      <c r="P6" s="1935"/>
      <c r="Q6" s="1935"/>
      <c r="R6" s="1935"/>
      <c r="S6" s="1941"/>
      <c r="T6" s="1951"/>
    </row>
    <row r="7" spans="1:24" s="575" customFormat="1" ht="10.5">
      <c r="A7" s="1946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33">
        <v>18</v>
      </c>
      <c r="T7" s="1952"/>
    </row>
    <row r="8" spans="1:24" ht="11.45" customHeight="1">
      <c r="A8" s="1118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67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67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1.45" customHeight="1">
      <c r="A9" s="338" t="s">
        <v>198</v>
      </c>
      <c r="B9" s="698">
        <v>70573.399999999994</v>
      </c>
      <c r="C9" s="698">
        <v>-404.7</v>
      </c>
      <c r="D9" s="698">
        <v>-6049.4</v>
      </c>
      <c r="E9" s="698">
        <v>64119.299999999996</v>
      </c>
      <c r="F9" s="1189">
        <v>73200.600000000006</v>
      </c>
      <c r="G9" s="698">
        <v>372.6</v>
      </c>
      <c r="H9" s="698">
        <v>63438.3</v>
      </c>
      <c r="I9" s="698">
        <f t="shared" si="0"/>
        <v>137011.5</v>
      </c>
      <c r="J9" s="1189">
        <v>16901.400000000001</v>
      </c>
      <c r="K9" s="698">
        <v>108</v>
      </c>
      <c r="L9" s="698">
        <f t="shared" si="1"/>
        <v>17009.400000000001</v>
      </c>
      <c r="M9" s="698">
        <v>332161.3</v>
      </c>
      <c r="N9" s="698">
        <v>27348.5</v>
      </c>
      <c r="O9" s="698">
        <v>359509.8</v>
      </c>
      <c r="P9" s="698">
        <f t="shared" si="2"/>
        <v>513530.69999999995</v>
      </c>
      <c r="Q9" s="697">
        <v>-67193.599999999977</v>
      </c>
      <c r="R9" s="698">
        <f t="shared" si="3"/>
        <v>446337.1</v>
      </c>
      <c r="S9" s="698">
        <f t="shared" si="4"/>
        <v>510456.39999999997</v>
      </c>
      <c r="T9" s="339" t="s">
        <v>198</v>
      </c>
      <c r="U9" s="189"/>
      <c r="V9" s="189"/>
      <c r="W9" s="189"/>
      <c r="X9" s="189"/>
    </row>
    <row r="10" spans="1:24" ht="11.45" customHeight="1">
      <c r="A10" s="1118" t="s">
        <v>789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88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88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789</v>
      </c>
      <c r="U10" s="189"/>
      <c r="V10" s="189"/>
      <c r="W10" s="189"/>
      <c r="X10" s="189"/>
    </row>
    <row r="11" spans="1:24" ht="11.45" customHeight="1">
      <c r="A11" s="338" t="s">
        <v>905</v>
      </c>
      <c r="B11" s="698">
        <v>113250.1</v>
      </c>
      <c r="C11" s="698">
        <v>-344.5</v>
      </c>
      <c r="D11" s="698">
        <v>-6493.8</v>
      </c>
      <c r="E11" s="698">
        <v>106411.8</v>
      </c>
      <c r="F11" s="1187">
        <v>110094.5</v>
      </c>
      <c r="G11" s="698">
        <v>249.7</v>
      </c>
      <c r="H11" s="698">
        <v>64634.2</v>
      </c>
      <c r="I11" s="698">
        <v>174978.4</v>
      </c>
      <c r="J11" s="1187">
        <v>9376.7999999999993</v>
      </c>
      <c r="K11" s="698">
        <v>43.7</v>
      </c>
      <c r="L11" s="698">
        <v>9420.5</v>
      </c>
      <c r="M11" s="698">
        <v>440915.1</v>
      </c>
      <c r="N11" s="698">
        <v>36526.800000000003</v>
      </c>
      <c r="O11" s="698">
        <v>477441.89999999997</v>
      </c>
      <c r="P11" s="698">
        <v>661840.79999999993</v>
      </c>
      <c r="Q11" s="697">
        <v>-88069.7</v>
      </c>
      <c r="R11" s="698">
        <v>573771.1</v>
      </c>
      <c r="S11" s="698">
        <v>680182.9</v>
      </c>
      <c r="T11" s="339" t="s">
        <v>905</v>
      </c>
      <c r="U11" s="189"/>
      <c r="V11" s="189"/>
      <c r="W11" s="189"/>
      <c r="X11" s="189"/>
    </row>
    <row r="12" spans="1:24" s="175" customFormat="1" ht="11.45" customHeight="1">
      <c r="A12" s="439" t="s">
        <v>1104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7" t="s">
        <v>1104</v>
      </c>
    </row>
    <row r="13" spans="1:24" s="280" customFormat="1" ht="11.45" customHeight="1">
      <c r="A13" s="633" t="s">
        <v>1163</v>
      </c>
      <c r="B13" s="1187">
        <v>189228.79999999999</v>
      </c>
      <c r="C13" s="1187">
        <v>-274.10000000000002</v>
      </c>
      <c r="D13" s="1187">
        <v>-7257.5</v>
      </c>
      <c r="E13" s="1187">
        <v>181697.19999999998</v>
      </c>
      <c r="F13" s="1187">
        <v>110224.8</v>
      </c>
      <c r="G13" s="1187">
        <v>183.4</v>
      </c>
      <c r="H13" s="1187">
        <v>105074</v>
      </c>
      <c r="I13" s="1187">
        <v>215482.2</v>
      </c>
      <c r="J13" s="1187">
        <v>16448.8</v>
      </c>
      <c r="K13" s="1187">
        <v>80.3</v>
      </c>
      <c r="L13" s="1187">
        <v>16529.099999999999</v>
      </c>
      <c r="M13" s="1187">
        <v>557021.80000000005</v>
      </c>
      <c r="N13" s="1187">
        <v>50121.5</v>
      </c>
      <c r="O13" s="1187">
        <v>607143.30000000005</v>
      </c>
      <c r="P13" s="1187">
        <v>839154.60000000009</v>
      </c>
      <c r="Q13" s="1187">
        <v>-110802.8</v>
      </c>
      <c r="R13" s="1187">
        <v>728351.8</v>
      </c>
      <c r="S13" s="1187">
        <v>910049</v>
      </c>
      <c r="T13" s="605" t="s">
        <v>1163</v>
      </c>
      <c r="U13" s="252"/>
    </row>
    <row r="14" spans="1:24" s="280" customFormat="1" ht="11.45" customHeight="1">
      <c r="A14" s="591" t="s">
        <v>1295</v>
      </c>
      <c r="B14" s="1188">
        <v>233135.6</v>
      </c>
      <c r="C14" s="1188">
        <v>-83</v>
      </c>
      <c r="D14" s="1188">
        <v>-8475.2000000000007</v>
      </c>
      <c r="E14" s="1188">
        <v>224577.4</v>
      </c>
      <c r="F14" s="1188">
        <v>114189.1</v>
      </c>
      <c r="G14" s="1188">
        <v>-89.1</v>
      </c>
      <c r="H14" s="1188">
        <v>138762.6</v>
      </c>
      <c r="I14" s="1188">
        <v>252862.6</v>
      </c>
      <c r="J14" s="1188">
        <v>15573</v>
      </c>
      <c r="K14" s="1188">
        <v>108.3</v>
      </c>
      <c r="L14" s="1188">
        <v>15681.3</v>
      </c>
      <c r="M14" s="1188">
        <v>650644</v>
      </c>
      <c r="N14" s="1188">
        <v>60778.8</v>
      </c>
      <c r="O14" s="1188">
        <v>711422.8</v>
      </c>
      <c r="P14" s="1188">
        <v>979966.70000000007</v>
      </c>
      <c r="Q14" s="1188">
        <v>-127800.9</v>
      </c>
      <c r="R14" s="1188">
        <v>852165.8</v>
      </c>
      <c r="S14" s="1188">
        <v>1076743.2</v>
      </c>
      <c r="T14" s="592" t="s">
        <v>1295</v>
      </c>
      <c r="U14" s="252"/>
    </row>
    <row r="15" spans="1:24" s="280" customFormat="1" ht="11.45" customHeight="1">
      <c r="A15" s="633" t="s">
        <v>1328</v>
      </c>
      <c r="B15" s="1187">
        <v>266697</v>
      </c>
      <c r="C15" s="1187">
        <v>-46.6</v>
      </c>
      <c r="D15" s="1187">
        <v>-9534.1</v>
      </c>
      <c r="E15" s="1187">
        <v>257116.3</v>
      </c>
      <c r="F15" s="1187">
        <v>97307.599999999991</v>
      </c>
      <c r="G15" s="1187">
        <v>-108.6</v>
      </c>
      <c r="H15" s="1187">
        <v>191178.6</v>
      </c>
      <c r="I15" s="1187">
        <v>288377.59999999998</v>
      </c>
      <c r="J15" s="1187">
        <v>16744.2</v>
      </c>
      <c r="K15" s="1187">
        <v>142.6</v>
      </c>
      <c r="L15" s="1187">
        <v>16886.8</v>
      </c>
      <c r="M15" s="1187">
        <v>752988.79999999993</v>
      </c>
      <c r="N15" s="1187">
        <v>71394.7</v>
      </c>
      <c r="O15" s="1187">
        <v>824383.49999999988</v>
      </c>
      <c r="P15" s="1187">
        <v>1129647.8999999999</v>
      </c>
      <c r="Q15" s="1187">
        <v>-153298.70000000001</v>
      </c>
      <c r="R15" s="1187">
        <v>976349.2</v>
      </c>
      <c r="S15" s="1187">
        <v>1233465.5</v>
      </c>
      <c r="T15" s="605" t="s">
        <v>1328</v>
      </c>
      <c r="U15" s="252"/>
    </row>
    <row r="16" spans="1:24" s="280" customFormat="1" ht="11.45" customHeight="1">
      <c r="A16" s="591" t="s">
        <v>1467</v>
      </c>
      <c r="B16" s="1188">
        <v>264674.5</v>
      </c>
      <c r="C16" s="1188">
        <v>-20.5</v>
      </c>
      <c r="D16" s="1188">
        <v>-11436.5</v>
      </c>
      <c r="E16" s="1188">
        <v>253217.5</v>
      </c>
      <c r="F16" s="1188">
        <v>94869.599999999991</v>
      </c>
      <c r="G16" s="1188">
        <v>-3111.6</v>
      </c>
      <c r="H16" s="1188">
        <v>237765</v>
      </c>
      <c r="I16" s="1188">
        <v>329523</v>
      </c>
      <c r="J16" s="1188">
        <v>11337.8</v>
      </c>
      <c r="K16" s="1188">
        <v>787.8</v>
      </c>
      <c r="L16" s="1188">
        <v>12125.599999999999</v>
      </c>
      <c r="M16" s="1188">
        <v>880749.5</v>
      </c>
      <c r="N16" s="1188">
        <v>89467</v>
      </c>
      <c r="O16" s="1188">
        <v>970216.5</v>
      </c>
      <c r="P16" s="1188">
        <v>1311865.1000000001</v>
      </c>
      <c r="Q16" s="1188">
        <v>-191334.1</v>
      </c>
      <c r="R16" s="1188">
        <v>1120531</v>
      </c>
      <c r="S16" s="1188">
        <v>1373748.5</v>
      </c>
      <c r="T16" s="592" t="s">
        <v>1467</v>
      </c>
      <c r="U16" s="252"/>
    </row>
    <row r="17" spans="1:22" s="280" customFormat="1" ht="11.45" customHeight="1">
      <c r="A17" s="354" t="s">
        <v>1596</v>
      </c>
      <c r="B17" s="1187">
        <v>272399.5</v>
      </c>
      <c r="C17" s="1187">
        <v>-155.1</v>
      </c>
      <c r="D17" s="1187">
        <v>-12662.8</v>
      </c>
      <c r="E17" s="1187">
        <v>259581.6</v>
      </c>
      <c r="F17" s="1187">
        <v>113248.3</v>
      </c>
      <c r="G17" s="1187">
        <v>-2534.3000000000002</v>
      </c>
      <c r="H17" s="1187">
        <v>287704.5</v>
      </c>
      <c r="I17" s="1187">
        <v>398418.5</v>
      </c>
      <c r="J17" s="1187">
        <v>13590.7</v>
      </c>
      <c r="K17" s="1187">
        <v>1239.4000000000001</v>
      </c>
      <c r="L17" s="1187">
        <v>14830.1</v>
      </c>
      <c r="M17" s="1187">
        <v>985443.3</v>
      </c>
      <c r="N17" s="1187">
        <v>93123</v>
      </c>
      <c r="O17" s="1187">
        <v>1078566.3</v>
      </c>
      <c r="P17" s="1187">
        <v>1491814.9</v>
      </c>
      <c r="Q17" s="1187">
        <v>-217369.60000000001</v>
      </c>
      <c r="R17" s="1187">
        <v>1274445.2999999998</v>
      </c>
      <c r="S17" s="1187">
        <v>1534026.9</v>
      </c>
      <c r="T17" s="385" t="s">
        <v>1596</v>
      </c>
      <c r="U17" s="252"/>
    </row>
    <row r="18" spans="1:22" ht="11.45" customHeight="1">
      <c r="A18" s="204" t="s">
        <v>1691</v>
      </c>
      <c r="B18" s="1190">
        <v>297336.2</v>
      </c>
      <c r="C18" s="1190">
        <v>-113.1</v>
      </c>
      <c r="D18" s="1190">
        <v>-13909.2</v>
      </c>
      <c r="E18" s="1190">
        <v>283313.90000000002</v>
      </c>
      <c r="F18" s="1190">
        <v>181119.4</v>
      </c>
      <c r="G18" s="1190">
        <v>71.3</v>
      </c>
      <c r="H18" s="1190">
        <v>302132.8</v>
      </c>
      <c r="I18" s="1190">
        <v>483323.5</v>
      </c>
      <c r="J18" s="1190">
        <v>19200.800000000003</v>
      </c>
      <c r="K18" s="1190">
        <v>1285.2</v>
      </c>
      <c r="L18" s="1190">
        <v>20486.000000000004</v>
      </c>
      <c r="M18" s="1190">
        <v>1075226.5</v>
      </c>
      <c r="N18" s="1190">
        <v>91712.4</v>
      </c>
      <c r="O18" s="1190">
        <v>1166938.8999999999</v>
      </c>
      <c r="P18" s="1190">
        <v>1670748.4</v>
      </c>
      <c r="Q18" s="1190">
        <v>-250124.9</v>
      </c>
      <c r="R18" s="1190">
        <v>1420623.5</v>
      </c>
      <c r="S18" s="1190">
        <v>1703937.4</v>
      </c>
      <c r="T18" s="516" t="s">
        <v>1691</v>
      </c>
      <c r="U18" s="189"/>
    </row>
    <row r="19" spans="1:22" s="175" customFormat="1" ht="11.45" customHeight="1">
      <c r="A19" s="394" t="s">
        <v>1760</v>
      </c>
      <c r="B19" s="1190">
        <f>B31</f>
        <v>382179.2</v>
      </c>
      <c r="C19" s="1190">
        <f t="shared" ref="C19:I19" si="5">C31</f>
        <v>-191.5</v>
      </c>
      <c r="D19" s="1190">
        <f t="shared" si="5"/>
        <v>-14841.5</v>
      </c>
      <c r="E19" s="1190">
        <f t="shared" si="5"/>
        <v>367146.2</v>
      </c>
      <c r="F19" s="1190">
        <f t="shared" si="5"/>
        <v>220997.5</v>
      </c>
      <c r="G19" s="1190">
        <f t="shared" si="5"/>
        <v>-621.4</v>
      </c>
      <c r="H19" s="1190">
        <f t="shared" si="5"/>
        <v>344143.9</v>
      </c>
      <c r="I19" s="1190">
        <f t="shared" si="5"/>
        <v>564520</v>
      </c>
      <c r="J19" s="1190">
        <f>J31</f>
        <v>19666.599999999999</v>
      </c>
      <c r="K19" s="1190">
        <f>K31</f>
        <v>1305.4000000000001</v>
      </c>
      <c r="L19" s="1190">
        <f t="shared" ref="L19:R19" si="6">L31</f>
        <v>20972</v>
      </c>
      <c r="M19" s="1190">
        <f t="shared" si="6"/>
        <v>1164390.5</v>
      </c>
      <c r="N19" s="1190">
        <f t="shared" si="6"/>
        <v>94826.3</v>
      </c>
      <c r="O19" s="1190">
        <f t="shared" si="6"/>
        <v>1259216.8</v>
      </c>
      <c r="P19" s="1190">
        <f t="shared" si="6"/>
        <v>1844708.8</v>
      </c>
      <c r="Q19" s="1190">
        <f t="shared" si="6"/>
        <v>-282809.7</v>
      </c>
      <c r="R19" s="1190">
        <f t="shared" si="6"/>
        <v>1561899.1</v>
      </c>
      <c r="S19" s="1190">
        <f>S31</f>
        <v>1929045.3</v>
      </c>
      <c r="T19" s="335" t="s">
        <v>1760</v>
      </c>
      <c r="U19" s="953"/>
    </row>
    <row r="20" spans="1:22" s="175" customFormat="1" ht="11.45" customHeight="1">
      <c r="A20" s="278" t="s">
        <v>603</v>
      </c>
      <c r="B20" s="1188">
        <f>297266.4+13630.7</f>
        <v>310897.10000000003</v>
      </c>
      <c r="C20" s="1188">
        <v>-100.2</v>
      </c>
      <c r="D20" s="1191">
        <v>-14064.6</v>
      </c>
      <c r="E20" s="1191">
        <f t="shared" ref="E20:E50" si="7">D20+C20+B20</f>
        <v>296732.30000000005</v>
      </c>
      <c r="F20" s="1188">
        <f>38923.9+157754</f>
        <v>196677.9</v>
      </c>
      <c r="G20" s="1188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88">
        <v>1285.2</v>
      </c>
      <c r="L20" s="1188">
        <f t="shared" ref="L20:L50" si="9">J20+K20</f>
        <v>20398.099999999999</v>
      </c>
      <c r="M20" s="1188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603</v>
      </c>
      <c r="U20" s="953"/>
    </row>
    <row r="21" spans="1:22" s="175" customFormat="1" ht="11.45" customHeight="1">
      <c r="A21" s="354" t="s">
        <v>604</v>
      </c>
      <c r="B21" s="1187">
        <f>307680.5+14569.5</f>
        <v>322250</v>
      </c>
      <c r="C21" s="1187">
        <v>-100.8</v>
      </c>
      <c r="D21" s="1191">
        <v>-14203.1</v>
      </c>
      <c r="E21" s="1191">
        <f t="shared" si="7"/>
        <v>307946.09999999998</v>
      </c>
      <c r="F21" s="1187">
        <f>22094.6+173066.1</f>
        <v>195160.7</v>
      </c>
      <c r="G21" s="1187">
        <v>-1.2</v>
      </c>
      <c r="H21" s="1194">
        <v>309584.90000000002</v>
      </c>
      <c r="I21" s="58">
        <f t="shared" si="8"/>
        <v>504744.4</v>
      </c>
      <c r="J21" s="321">
        <f>1597.8+17926.2</f>
        <v>19524</v>
      </c>
      <c r="K21" s="1187">
        <v>1285.2</v>
      </c>
      <c r="L21" s="1187">
        <f t="shared" si="9"/>
        <v>20809.2</v>
      </c>
      <c r="M21" s="1187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604</v>
      </c>
      <c r="U21" s="953"/>
    </row>
    <row r="22" spans="1:22" s="175" customFormat="1" ht="11.45" customHeight="1">
      <c r="A22" s="278" t="s">
        <v>598</v>
      </c>
      <c r="B22" s="1188">
        <f>313613.3+17544.3</f>
        <v>331157.59999999998</v>
      </c>
      <c r="C22" s="1188">
        <v>-101.3</v>
      </c>
      <c r="D22" s="1191">
        <v>-14346.6</v>
      </c>
      <c r="E22" s="1191">
        <f t="shared" si="7"/>
        <v>316709.69999999995</v>
      </c>
      <c r="F22" s="1188">
        <f>12186.7+178287</f>
        <v>190473.7</v>
      </c>
      <c r="G22" s="1188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88">
        <v>1289.7</v>
      </c>
      <c r="L22" s="1188">
        <f t="shared" si="9"/>
        <v>20752.5</v>
      </c>
      <c r="M22" s="1188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598</v>
      </c>
      <c r="U22" s="953"/>
      <c r="V22" s="953"/>
    </row>
    <row r="23" spans="1:22" s="175" customFormat="1" ht="11.45" customHeight="1">
      <c r="A23" s="354" t="s">
        <v>605</v>
      </c>
      <c r="B23" s="1187">
        <f>322383.4+14543.2</f>
        <v>336926.60000000003</v>
      </c>
      <c r="C23" s="1187">
        <v>-88.4</v>
      </c>
      <c r="D23" s="1192">
        <v>-14474.3</v>
      </c>
      <c r="E23" s="1192">
        <f t="shared" si="7"/>
        <v>322363.90000000002</v>
      </c>
      <c r="F23" s="1195">
        <f>11533.9+180055.7</f>
        <v>191589.6</v>
      </c>
      <c r="G23" s="1187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87">
        <v>1338.8</v>
      </c>
      <c r="L23" s="1187">
        <f t="shared" si="9"/>
        <v>21166.699999999997</v>
      </c>
      <c r="M23" s="1187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94">
        <f t="shared" si="12"/>
        <v>1461734.5999999999</v>
      </c>
      <c r="S23" s="321">
        <f t="shared" si="13"/>
        <v>1784098.5</v>
      </c>
      <c r="T23" s="333" t="s">
        <v>605</v>
      </c>
      <c r="U23" s="953"/>
      <c r="V23" s="953"/>
    </row>
    <row r="24" spans="1:22" s="175" customFormat="1" ht="11.45" customHeight="1">
      <c r="A24" s="278" t="s">
        <v>606</v>
      </c>
      <c r="B24" s="1188">
        <f>330892.7+14510.5</f>
        <v>345403.2</v>
      </c>
      <c r="C24" s="1188">
        <v>-88.8</v>
      </c>
      <c r="D24" s="1191">
        <v>-14640.3</v>
      </c>
      <c r="E24" s="1191">
        <f t="shared" si="7"/>
        <v>330674.10000000003</v>
      </c>
      <c r="F24" s="1188">
        <f>9855.8+183243.1</f>
        <v>193098.9</v>
      </c>
      <c r="G24" s="1188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88">
        <v>1338.8</v>
      </c>
      <c r="L24" s="1188">
        <f t="shared" si="9"/>
        <v>21911.3</v>
      </c>
      <c r="M24" s="1188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606</v>
      </c>
      <c r="U24" s="953"/>
      <c r="V24" s="953"/>
    </row>
    <row r="25" spans="1:22" s="175" customFormat="1" ht="11.45" customHeight="1">
      <c r="A25" s="354" t="s">
        <v>599</v>
      </c>
      <c r="B25" s="1187">
        <f>341180.7+15796.1</f>
        <v>356976.8</v>
      </c>
      <c r="C25" s="1187">
        <v>-89.3</v>
      </c>
      <c r="D25" s="1193">
        <v>-14722.3</v>
      </c>
      <c r="E25" s="1192">
        <f t="shared" si="7"/>
        <v>342165.2</v>
      </c>
      <c r="F25" s="1187">
        <f>1313.5+189941.4</f>
        <v>191254.9</v>
      </c>
      <c r="G25" s="1187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87">
        <v>1337.5</v>
      </c>
      <c r="L25" s="1187">
        <f t="shared" si="9"/>
        <v>22318.2</v>
      </c>
      <c r="M25" s="1187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599</v>
      </c>
      <c r="V25" s="953"/>
    </row>
    <row r="26" spans="1:22" s="175" customFormat="1" ht="11.45" customHeight="1">
      <c r="A26" s="278" t="s">
        <v>607</v>
      </c>
      <c r="B26" s="1188">
        <f>343476.8+15680.7</f>
        <v>359157.5</v>
      </c>
      <c r="C26" s="1188">
        <v>-76.3</v>
      </c>
      <c r="D26" s="1191">
        <v>-14809.8</v>
      </c>
      <c r="E26" s="1191">
        <f t="shared" si="7"/>
        <v>344271.4</v>
      </c>
      <c r="F26" s="1188">
        <f>-206.2+191553.9</f>
        <v>191347.69999999998</v>
      </c>
      <c r="G26" s="1188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88">
        <v>1305.2</v>
      </c>
      <c r="L26" s="1188">
        <f t="shared" si="9"/>
        <v>22024.5</v>
      </c>
      <c r="M26" s="1188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607</v>
      </c>
      <c r="V26" s="953"/>
    </row>
    <row r="27" spans="1:22" s="175" customFormat="1" ht="11.45" customHeight="1">
      <c r="A27" s="354" t="s">
        <v>608</v>
      </c>
      <c r="B27" s="1187">
        <f>347148.6+14582.4</f>
        <v>361731</v>
      </c>
      <c r="C27" s="1187">
        <v>-76.7</v>
      </c>
      <c r="D27" s="1193">
        <v>-14879</v>
      </c>
      <c r="E27" s="1192">
        <f t="shared" si="7"/>
        <v>346775.3</v>
      </c>
      <c r="F27" s="1187">
        <f>-11316.8+190796.2</f>
        <v>179479.40000000002</v>
      </c>
      <c r="G27" s="1187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87">
        <v>1306.4000000000001</v>
      </c>
      <c r="L27" s="1187">
        <f t="shared" si="9"/>
        <v>22468.600000000002</v>
      </c>
      <c r="M27" s="1187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608</v>
      </c>
      <c r="U27" s="953"/>
      <c r="V27" s="953"/>
    </row>
    <row r="28" spans="1:22" s="175" customFormat="1" ht="11.45" customHeight="1">
      <c r="A28" s="278" t="s">
        <v>600</v>
      </c>
      <c r="B28" s="1188">
        <f>346841.2+15356.7</f>
        <v>362197.9</v>
      </c>
      <c r="C28" s="1188">
        <v>-77.099999999999994</v>
      </c>
      <c r="D28" s="1191">
        <v>-14918.6</v>
      </c>
      <c r="E28" s="1191">
        <f t="shared" si="7"/>
        <v>347202.2</v>
      </c>
      <c r="F28" s="1188">
        <f>-9799.1+188683.3</f>
        <v>178884.19999999998</v>
      </c>
      <c r="G28" s="1188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88">
        <v>1305.5</v>
      </c>
      <c r="L28" s="1188">
        <f t="shared" si="9"/>
        <v>22362.2</v>
      </c>
      <c r="M28" s="1188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600</v>
      </c>
      <c r="U28" s="953"/>
      <c r="V28" s="953"/>
    </row>
    <row r="29" spans="1:22" s="175" customFormat="1" ht="11.45" customHeight="1">
      <c r="A29" s="354" t="s">
        <v>609</v>
      </c>
      <c r="B29" s="1187">
        <f>352524.2+17183</f>
        <v>369707.2</v>
      </c>
      <c r="C29" s="1187">
        <v>-64.099999999999994</v>
      </c>
      <c r="D29" s="1192">
        <v>-14921.1</v>
      </c>
      <c r="E29" s="1192">
        <f t="shared" si="7"/>
        <v>354722</v>
      </c>
      <c r="F29" s="1187">
        <f>-1952.8+189105.6</f>
        <v>187152.80000000002</v>
      </c>
      <c r="G29" s="1187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87">
        <v>1305.4000000000001</v>
      </c>
      <c r="L29" s="1187">
        <f t="shared" si="9"/>
        <v>21698.200000000004</v>
      </c>
      <c r="M29" s="1187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609</v>
      </c>
      <c r="U29" s="953"/>
      <c r="V29" s="953"/>
    </row>
    <row r="30" spans="1:22" s="175" customFormat="1" ht="11.45" customHeight="1">
      <c r="A30" s="278" t="s">
        <v>610</v>
      </c>
      <c r="B30" s="1188">
        <f>361530.9+16389.4</f>
        <v>377920.30000000005</v>
      </c>
      <c r="C30" s="1188">
        <v>-190.6</v>
      </c>
      <c r="D30" s="1191">
        <v>-14937.2</v>
      </c>
      <c r="E30" s="1191">
        <f t="shared" si="7"/>
        <v>362792.50000000006</v>
      </c>
      <c r="F30" s="1188">
        <f>-482.4+197929.6</f>
        <v>197447.2</v>
      </c>
      <c r="G30" s="1188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88">
        <v>1305.4000000000001</v>
      </c>
      <c r="L30" s="1188">
        <f t="shared" si="9"/>
        <v>21730.050000000003</v>
      </c>
      <c r="M30" s="1188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610</v>
      </c>
      <c r="U30" s="953"/>
      <c r="V30" s="953"/>
    </row>
    <row r="31" spans="1:22" s="175" customFormat="1" ht="11.45" customHeight="1">
      <c r="A31" s="438" t="s">
        <v>601</v>
      </c>
      <c r="B31" s="1187">
        <f>366917.3+15261.9</f>
        <v>382179.2</v>
      </c>
      <c r="C31" s="1187">
        <v>-191.5</v>
      </c>
      <c r="D31" s="1192">
        <v>-14841.5</v>
      </c>
      <c r="E31" s="1192">
        <f t="shared" si="7"/>
        <v>367146.2</v>
      </c>
      <c r="F31" s="1187">
        <f>17285.5+203712</f>
        <v>220997.5</v>
      </c>
      <c r="G31" s="1187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87">
        <v>1305.4000000000001</v>
      </c>
      <c r="L31" s="1187">
        <f t="shared" si="9"/>
        <v>20972</v>
      </c>
      <c r="M31" s="1187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94">
        <f t="shared" si="13"/>
        <v>1929045.3</v>
      </c>
      <c r="T31" s="385" t="s">
        <v>601</v>
      </c>
      <c r="U31" s="953"/>
      <c r="V31" s="953"/>
    </row>
    <row r="32" spans="1:22" s="175" customFormat="1" ht="11.45" customHeight="1">
      <c r="A32" s="984" t="s">
        <v>2160</v>
      </c>
      <c r="B32" s="1190">
        <f>B44</f>
        <v>364298.8</v>
      </c>
      <c r="C32" s="1190">
        <f t="shared" ref="C32:S32" si="14">C44</f>
        <v>-309.5</v>
      </c>
      <c r="D32" s="1190">
        <f t="shared" si="14"/>
        <v>-13446.1</v>
      </c>
      <c r="E32" s="1190">
        <f t="shared" si="14"/>
        <v>350543.2</v>
      </c>
      <c r="F32" s="1190">
        <f t="shared" si="14"/>
        <v>283289.09999999998</v>
      </c>
      <c r="G32" s="1190">
        <f t="shared" si="14"/>
        <v>-328</v>
      </c>
      <c r="H32" s="1190">
        <f t="shared" si="14"/>
        <v>364051</v>
      </c>
      <c r="I32" s="1190">
        <f t="shared" si="14"/>
        <v>647012.1</v>
      </c>
      <c r="J32" s="1190">
        <f t="shared" si="14"/>
        <v>27775.1</v>
      </c>
      <c r="K32" s="1190">
        <f t="shared" si="14"/>
        <v>1284.8</v>
      </c>
      <c r="L32" s="1190">
        <f t="shared" si="14"/>
        <v>29059.899999999998</v>
      </c>
      <c r="M32" s="1190">
        <f t="shared" si="14"/>
        <v>1328344.5999999999</v>
      </c>
      <c r="N32" s="1190">
        <f t="shared" si="14"/>
        <v>97727.3</v>
      </c>
      <c r="O32" s="1190">
        <f t="shared" si="14"/>
        <v>1426071.9</v>
      </c>
      <c r="P32" s="1190">
        <f t="shared" si="14"/>
        <v>2102143.9</v>
      </c>
      <c r="Q32" s="1190">
        <f t="shared" si="14"/>
        <v>-354713.8</v>
      </c>
      <c r="R32" s="1190">
        <f t="shared" si="14"/>
        <v>1747430.0999999999</v>
      </c>
      <c r="S32" s="1190">
        <f t="shared" si="14"/>
        <v>2097973.2999999998</v>
      </c>
      <c r="T32" s="398" t="s">
        <v>2160</v>
      </c>
      <c r="U32" s="953"/>
      <c r="V32" s="953"/>
    </row>
    <row r="33" spans="1:24" s="175" customFormat="1" ht="11.45" customHeight="1">
      <c r="A33" s="438" t="s">
        <v>603</v>
      </c>
      <c r="B33" s="1187">
        <f>369407.2+14441.4</f>
        <v>383848.60000000003</v>
      </c>
      <c r="C33" s="1187">
        <v>-179.1</v>
      </c>
      <c r="D33" s="1192">
        <v>-14804.8</v>
      </c>
      <c r="E33" s="1192">
        <f t="shared" si="7"/>
        <v>368864.7</v>
      </c>
      <c r="F33" s="1187">
        <f>12440.4+216678.8</f>
        <v>229119.19999999998</v>
      </c>
      <c r="G33" s="1187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87">
        <v>1305.3</v>
      </c>
      <c r="L33" s="1187">
        <f t="shared" si="9"/>
        <v>21185.199999999997</v>
      </c>
      <c r="M33" s="1187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603</v>
      </c>
      <c r="U33" s="815"/>
      <c r="V33" s="953"/>
    </row>
    <row r="34" spans="1:24" s="175" customFormat="1" ht="11.45" customHeight="1">
      <c r="A34" s="424" t="s">
        <v>604</v>
      </c>
      <c r="B34" s="1188">
        <f>370193.5+17245.1</f>
        <v>387438.6</v>
      </c>
      <c r="C34" s="1188">
        <v>-180.6</v>
      </c>
      <c r="D34" s="1191">
        <v>-14772.9</v>
      </c>
      <c r="E34" s="1191">
        <f t="shared" si="7"/>
        <v>372485.1</v>
      </c>
      <c r="F34" s="1188">
        <f>6278.9+218203</f>
        <v>224481.9</v>
      </c>
      <c r="G34" s="1188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88">
        <v>1303</v>
      </c>
      <c r="L34" s="1188">
        <f t="shared" si="9"/>
        <v>21568</v>
      </c>
      <c r="M34" s="1188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604</v>
      </c>
      <c r="U34" s="815"/>
      <c r="V34" s="953"/>
      <c r="W34" s="953"/>
      <c r="X34" s="953"/>
    </row>
    <row r="35" spans="1:24" s="175" customFormat="1" ht="11.45" customHeight="1">
      <c r="A35" s="438" t="s">
        <v>598</v>
      </c>
      <c r="B35" s="1187">
        <f>361730.3+15858.6</f>
        <v>377588.89999999997</v>
      </c>
      <c r="C35" s="1187">
        <v>-225</v>
      </c>
      <c r="D35" s="1192">
        <v>-14667.6</v>
      </c>
      <c r="E35" s="1192">
        <f t="shared" si="7"/>
        <v>362696.3</v>
      </c>
      <c r="F35" s="1187">
        <f>7273.4+220245.3</f>
        <v>227518.69999999998</v>
      </c>
      <c r="G35" s="1187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87">
        <v>1306.2</v>
      </c>
      <c r="L35" s="1187">
        <f t="shared" si="9"/>
        <v>22349.200000000001</v>
      </c>
      <c r="M35" s="1187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598</v>
      </c>
      <c r="U35" s="815"/>
      <c r="V35" s="953"/>
      <c r="W35" s="953"/>
      <c r="X35" s="953"/>
    </row>
    <row r="36" spans="1:24" s="175" customFormat="1" ht="11.45" customHeight="1">
      <c r="A36" s="424" t="s">
        <v>605</v>
      </c>
      <c r="B36" s="1188">
        <f>358585.9+18278.8</f>
        <v>376864.7</v>
      </c>
      <c r="C36" s="1188">
        <v>-212.8</v>
      </c>
      <c r="D36" s="1191">
        <v>-14559.4</v>
      </c>
      <c r="E36" s="1191">
        <f t="shared" si="7"/>
        <v>362092.5</v>
      </c>
      <c r="F36" s="1188">
        <f>8393.7+222573.4</f>
        <v>230967.1</v>
      </c>
      <c r="G36" s="1188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88">
        <v>1340.7</v>
      </c>
      <c r="L36" s="1188">
        <f t="shared" si="9"/>
        <v>23530.100000000002</v>
      </c>
      <c r="M36" s="1188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605</v>
      </c>
      <c r="U36" s="815"/>
      <c r="V36" s="953"/>
      <c r="W36" s="953"/>
      <c r="X36" s="953"/>
    </row>
    <row r="37" spans="1:24" s="175" customFormat="1" ht="11.45" customHeight="1">
      <c r="A37" s="438" t="s">
        <v>606</v>
      </c>
      <c r="B37" s="1187">
        <f>352218.6+13243.3</f>
        <v>365461.89999999997</v>
      </c>
      <c r="C37" s="1187">
        <v>-347.9</v>
      </c>
      <c r="D37" s="1192">
        <v>-14486.4</v>
      </c>
      <c r="E37" s="1192">
        <f t="shared" si="7"/>
        <v>350627.6</v>
      </c>
      <c r="F37" s="1187">
        <f>17488.1+222563.1</f>
        <v>240051.20000000001</v>
      </c>
      <c r="G37" s="1187">
        <v>-532</v>
      </c>
      <c r="H37" s="321">
        <v>354169.7</v>
      </c>
      <c r="I37" s="321">
        <f t="shared" ref="I37:I50" si="15">H37+G37+F37</f>
        <v>593688.9</v>
      </c>
      <c r="J37" s="321">
        <f>1602.5+22128.2</f>
        <v>23730.7</v>
      </c>
      <c r="K37" s="1187">
        <v>1371.4</v>
      </c>
      <c r="L37" s="1187">
        <f t="shared" si="9"/>
        <v>25102.100000000002</v>
      </c>
      <c r="M37" s="1187">
        <f>4260+1207447.1</f>
        <v>1211707.1000000001</v>
      </c>
      <c r="N37" s="321">
        <v>93598.7</v>
      </c>
      <c r="O37" s="321">
        <f t="shared" ref="O37:O50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606</v>
      </c>
      <c r="U37" s="815"/>
      <c r="V37" s="953"/>
      <c r="W37" s="953"/>
      <c r="X37" s="953"/>
    </row>
    <row r="38" spans="1:24" s="175" customFormat="1" ht="11.45" customHeight="1">
      <c r="A38" s="424" t="s">
        <v>599</v>
      </c>
      <c r="B38" s="1188">
        <f>354607.3+14548</f>
        <v>369155.3</v>
      </c>
      <c r="C38" s="1188">
        <v>-348.7</v>
      </c>
      <c r="D38" s="1191">
        <v>-14374.6</v>
      </c>
      <c r="E38" s="1191">
        <f t="shared" si="7"/>
        <v>354432</v>
      </c>
      <c r="F38" s="1188">
        <f>5463.5+229052.7</f>
        <v>234516.2</v>
      </c>
      <c r="G38" s="1188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88">
        <v>1371</v>
      </c>
      <c r="L38" s="1188">
        <f t="shared" si="9"/>
        <v>26516.400000000001</v>
      </c>
      <c r="M38" s="1188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599</v>
      </c>
      <c r="U38" s="815"/>
      <c r="V38" s="953"/>
      <c r="W38" s="953"/>
      <c r="X38" s="953"/>
    </row>
    <row r="39" spans="1:24" s="175" customFormat="1" ht="11.45" customHeight="1">
      <c r="A39" s="438" t="s">
        <v>607</v>
      </c>
      <c r="B39" s="1187">
        <f>351964.2+13279.8</f>
        <v>365244</v>
      </c>
      <c r="C39" s="1187">
        <v>-337.6</v>
      </c>
      <c r="D39" s="1192">
        <v>-14250.7</v>
      </c>
      <c r="E39" s="1192">
        <f t="shared" si="7"/>
        <v>350655.7</v>
      </c>
      <c r="F39" s="1187">
        <f>9036.5+223024.5</f>
        <v>232061</v>
      </c>
      <c r="G39" s="1187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87">
        <v>1252</v>
      </c>
      <c r="L39" s="1187">
        <f t="shared" si="9"/>
        <v>28020.6</v>
      </c>
      <c r="M39" s="1187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607</v>
      </c>
      <c r="U39" s="953"/>
      <c r="V39" s="815"/>
      <c r="W39" s="953"/>
      <c r="X39" s="953"/>
    </row>
    <row r="40" spans="1:24" s="175" customFormat="1" ht="11.45" customHeight="1">
      <c r="A40" s="424" t="s">
        <v>608</v>
      </c>
      <c r="B40" s="1188">
        <f>351813.1+10853.3</f>
        <v>362666.39999999997</v>
      </c>
      <c r="C40" s="1188">
        <v>-330.4</v>
      </c>
      <c r="D40" s="1191">
        <v>-14178.7</v>
      </c>
      <c r="E40" s="1191">
        <f t="shared" si="7"/>
        <v>348157.3</v>
      </c>
      <c r="F40" s="1188">
        <f>8058.5+223377.4</f>
        <v>231435.9</v>
      </c>
      <c r="G40" s="1188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88">
        <v>1251.7</v>
      </c>
      <c r="L40" s="1188">
        <f t="shared" si="9"/>
        <v>27594.300000000003</v>
      </c>
      <c r="M40" s="1188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608</v>
      </c>
      <c r="U40" s="953"/>
      <c r="V40" s="815"/>
      <c r="W40" s="953"/>
      <c r="X40" s="953"/>
    </row>
    <row r="41" spans="1:24" s="175" customFormat="1" ht="11.45" customHeight="1">
      <c r="A41" s="438" t="s">
        <v>600</v>
      </c>
      <c r="B41" s="1187">
        <f>344756+11645.3</f>
        <v>356401.3</v>
      </c>
      <c r="C41" s="1187">
        <v>-331.7</v>
      </c>
      <c r="D41" s="1192">
        <v>-14016.9</v>
      </c>
      <c r="E41" s="1192">
        <f t="shared" si="7"/>
        <v>342052.7</v>
      </c>
      <c r="F41" s="1187">
        <f>12804.3+222662.3</f>
        <v>235466.59999999998</v>
      </c>
      <c r="G41" s="1187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87">
        <v>1249.7</v>
      </c>
      <c r="L41" s="1187">
        <f t="shared" si="9"/>
        <v>27416.3</v>
      </c>
      <c r="M41" s="1187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600</v>
      </c>
      <c r="U41" s="953"/>
      <c r="V41" s="815"/>
      <c r="W41" s="953"/>
      <c r="X41" s="953"/>
    </row>
    <row r="42" spans="1:24" s="175" customFormat="1" ht="11.45" customHeight="1">
      <c r="A42" s="424" t="s">
        <v>609</v>
      </c>
      <c r="B42" s="536">
        <f>337440.8+13395.9</f>
        <v>350836.7</v>
      </c>
      <c r="C42" s="536">
        <v>-320.7</v>
      </c>
      <c r="D42" s="1482">
        <v>-13877.9</v>
      </c>
      <c r="E42" s="1482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609</v>
      </c>
      <c r="U42" s="953"/>
      <c r="V42" s="815"/>
      <c r="W42" s="953"/>
      <c r="X42" s="953"/>
    </row>
    <row r="43" spans="1:24" s="175" customFormat="1" ht="11.45" customHeight="1">
      <c r="A43" s="438" t="s">
        <v>610</v>
      </c>
      <c r="B43" s="559">
        <f>343397.9+11397.9</f>
        <v>354795.80000000005</v>
      </c>
      <c r="C43" s="559">
        <v>-293.7</v>
      </c>
      <c r="D43" s="1505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610</v>
      </c>
      <c r="U43" s="953"/>
      <c r="V43" s="815"/>
      <c r="W43" s="953"/>
      <c r="X43" s="953"/>
    </row>
    <row r="44" spans="1:24" s="175" customFormat="1" ht="11.45" customHeight="1">
      <c r="A44" s="424" t="s">
        <v>601</v>
      </c>
      <c r="B44" s="536">
        <f>347757.7+16541.1</f>
        <v>364298.8</v>
      </c>
      <c r="C44" s="536">
        <v>-309.5</v>
      </c>
      <c r="D44" s="1482">
        <v>-13446.1</v>
      </c>
      <c r="E44" s="1482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50" si="17">P44+Q44</f>
        <v>1747430.0999999999</v>
      </c>
      <c r="S44" s="252">
        <f t="shared" ref="S44:S50" si="18">E44+R44</f>
        <v>2097973.2999999998</v>
      </c>
      <c r="T44" s="419" t="s">
        <v>601</v>
      </c>
      <c r="U44" s="953"/>
      <c r="V44" s="815"/>
      <c r="W44" s="953"/>
      <c r="X44" s="953"/>
    </row>
    <row r="45" spans="1:24" s="175" customFormat="1" ht="11.45" customHeight="1">
      <c r="A45" s="1622" t="s">
        <v>2476</v>
      </c>
      <c r="B45" s="559"/>
      <c r="C45" s="559"/>
      <c r="D45" s="1505"/>
      <c r="E45" s="1505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2476</v>
      </c>
      <c r="U45" s="953"/>
      <c r="V45" s="815"/>
      <c r="W45" s="953"/>
      <c r="X45" s="953"/>
    </row>
    <row r="46" spans="1:24" s="175" customFormat="1" ht="11.45" customHeight="1">
      <c r="A46" s="424" t="s">
        <v>603</v>
      </c>
      <c r="B46" s="536">
        <f>341807.3+15759.5</f>
        <v>357566.8</v>
      </c>
      <c r="C46" s="536">
        <v>-314.8</v>
      </c>
      <c r="D46" s="1482">
        <v>-13404.7</v>
      </c>
      <c r="E46" s="1482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603</v>
      </c>
      <c r="U46" s="953"/>
      <c r="V46" s="815"/>
      <c r="W46" s="953"/>
      <c r="X46" s="953"/>
    </row>
    <row r="47" spans="1:24" s="175" customFormat="1" ht="11.45" customHeight="1">
      <c r="A47" s="438" t="s">
        <v>604</v>
      </c>
      <c r="B47" s="559">
        <f>323765.9+16646.2</f>
        <v>340412.10000000003</v>
      </c>
      <c r="C47" s="559">
        <v>-307.7</v>
      </c>
      <c r="D47" s="1505">
        <v>-13232.5</v>
      </c>
      <c r="E47" s="1505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>I47+L47+O47</f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604</v>
      </c>
      <c r="U47" s="953"/>
      <c r="V47" s="815"/>
      <c r="W47" s="953"/>
      <c r="X47" s="953"/>
    </row>
    <row r="48" spans="1:24" s="175" customFormat="1" ht="11.45" customHeight="1">
      <c r="A48" s="424" t="s">
        <v>598</v>
      </c>
      <c r="B48" s="536">
        <f>319037.1+16403.7</f>
        <v>335440.8</v>
      </c>
      <c r="C48" s="536">
        <v>-323.89999999999998</v>
      </c>
      <c r="D48" s="1482">
        <v>-13061.2</v>
      </c>
      <c r="E48" s="1482">
        <f t="shared" si="7"/>
        <v>322055.7</v>
      </c>
      <c r="F48" s="536">
        <f>71663.4+220805.3</f>
        <v>292468.69999999995</v>
      </c>
      <c r="G48" s="536">
        <v>-97.3</v>
      </c>
      <c r="H48" s="252">
        <v>364381.5</v>
      </c>
      <c r="I48" s="252">
        <f t="shared" si="15"/>
        <v>656752.89999999991</v>
      </c>
      <c r="J48" s="252">
        <f>1599.3+27135.6</f>
        <v>28734.899999999998</v>
      </c>
      <c r="K48" s="536">
        <v>1285</v>
      </c>
      <c r="L48" s="536">
        <f t="shared" si="9"/>
        <v>30019.899999999998</v>
      </c>
      <c r="M48" s="536">
        <f>4499.1+1353653</f>
        <v>1358152.1</v>
      </c>
      <c r="N48" s="252">
        <v>98350.1</v>
      </c>
      <c r="O48" s="252">
        <f t="shared" si="16"/>
        <v>1456502.2000000002</v>
      </c>
      <c r="P48" s="252">
        <f>I48+L48+O48</f>
        <v>2143275</v>
      </c>
      <c r="Q48" s="252">
        <v>-350497.5</v>
      </c>
      <c r="R48" s="252">
        <f t="shared" si="17"/>
        <v>1792777.5</v>
      </c>
      <c r="S48" s="252">
        <f t="shared" si="18"/>
        <v>2114833.2000000002</v>
      </c>
      <c r="T48" s="419" t="s">
        <v>598</v>
      </c>
      <c r="U48" s="953"/>
      <c r="V48" s="815"/>
      <c r="W48" s="953"/>
      <c r="X48" s="953"/>
    </row>
    <row r="49" spans="1:24" s="175" customFormat="1" ht="11.45" customHeight="1">
      <c r="A49" s="438" t="s">
        <v>605</v>
      </c>
      <c r="B49" s="559">
        <f>309740.2+16736.2</f>
        <v>326476.40000000002</v>
      </c>
      <c r="C49" s="559">
        <v>-280.2</v>
      </c>
      <c r="D49" s="1505">
        <v>-12962.1</v>
      </c>
      <c r="E49" s="1505">
        <f t="shared" si="7"/>
        <v>313234.10000000003</v>
      </c>
      <c r="F49" s="559">
        <f>83478.7+221653.6</f>
        <v>305132.3</v>
      </c>
      <c r="G49" s="559">
        <v>142.1</v>
      </c>
      <c r="H49" s="317">
        <v>363418.4</v>
      </c>
      <c r="I49" s="317">
        <f t="shared" si="15"/>
        <v>668692.80000000005</v>
      </c>
      <c r="J49" s="317">
        <f>1600.9+27781.4</f>
        <v>29382.300000000003</v>
      </c>
      <c r="K49" s="559">
        <v>1283</v>
      </c>
      <c r="L49" s="559">
        <f t="shared" si="9"/>
        <v>30665.300000000003</v>
      </c>
      <c r="M49" s="559">
        <f>4527.5+1363929</f>
        <v>1368456.5</v>
      </c>
      <c r="N49" s="317">
        <v>99662.6</v>
      </c>
      <c r="O49" s="317">
        <f t="shared" si="16"/>
        <v>1468119.1</v>
      </c>
      <c r="P49" s="317">
        <f>I49+L49+O49</f>
        <v>2167477.2000000002</v>
      </c>
      <c r="Q49" s="317">
        <v>-365896.6</v>
      </c>
      <c r="R49" s="317">
        <f t="shared" si="17"/>
        <v>1801580.6</v>
      </c>
      <c r="S49" s="317">
        <f t="shared" si="18"/>
        <v>2114814.7000000002</v>
      </c>
      <c r="T49" s="385" t="s">
        <v>605</v>
      </c>
      <c r="U49" s="953"/>
      <c r="V49" s="953"/>
      <c r="W49" s="953"/>
      <c r="X49" s="953"/>
    </row>
    <row r="50" spans="1:24" s="175" customFormat="1" ht="11.45" customHeight="1" thickBot="1">
      <c r="A50" s="1427" t="s">
        <v>606</v>
      </c>
      <c r="B50" s="1675">
        <f>300465.4+18595.5</f>
        <v>319060.90000000002</v>
      </c>
      <c r="C50" s="1675">
        <v>-254.1</v>
      </c>
      <c r="D50" s="1676">
        <v>-12793.4</v>
      </c>
      <c r="E50" s="1676">
        <f t="shared" si="7"/>
        <v>306013.40000000002</v>
      </c>
      <c r="F50" s="1675">
        <f>91786.4+207420.4</f>
        <v>299206.8</v>
      </c>
      <c r="G50" s="1675">
        <v>-63.8</v>
      </c>
      <c r="H50" s="692">
        <v>362440</v>
      </c>
      <c r="I50" s="692">
        <f t="shared" si="15"/>
        <v>661583</v>
      </c>
      <c r="J50" s="692">
        <f>1602.4+28465</f>
        <v>30067.4</v>
      </c>
      <c r="K50" s="1675">
        <v>1250.5</v>
      </c>
      <c r="L50" s="1675">
        <f t="shared" si="9"/>
        <v>31317.9</v>
      </c>
      <c r="M50" s="1675">
        <f>4549.7+1380380</f>
        <v>1384929.7</v>
      </c>
      <c r="N50" s="692">
        <v>98293.3</v>
      </c>
      <c r="O50" s="692">
        <f t="shared" si="16"/>
        <v>1483223</v>
      </c>
      <c r="P50" s="692">
        <f>I50+L50+O50</f>
        <v>2176123.9</v>
      </c>
      <c r="Q50" s="692">
        <v>-354216.3</v>
      </c>
      <c r="R50" s="692">
        <f t="shared" si="17"/>
        <v>1821907.5999999999</v>
      </c>
      <c r="S50" s="692">
        <f t="shared" si="18"/>
        <v>2127921</v>
      </c>
      <c r="T50" s="1627" t="s">
        <v>606</v>
      </c>
      <c r="U50" s="953"/>
      <c r="V50" s="953"/>
      <c r="W50" s="953"/>
      <c r="X50" s="953"/>
    </row>
    <row r="51" spans="1:24" ht="10.5" customHeight="1">
      <c r="A51" s="204" t="s">
        <v>1505</v>
      </c>
      <c r="B51" s="1936" t="s">
        <v>1364</v>
      </c>
      <c r="C51" s="1936"/>
      <c r="D51" s="1936"/>
      <c r="E51" s="1936"/>
      <c r="F51" s="1936"/>
      <c r="G51" s="287"/>
      <c r="H51" s="1624" t="s">
        <v>1465</v>
      </c>
      <c r="I51" s="877"/>
      <c r="J51" s="934"/>
      <c r="K51" s="934"/>
      <c r="L51" s="934"/>
      <c r="M51" s="203" t="s">
        <v>220</v>
      </c>
      <c r="N51" s="1954" t="s">
        <v>1496</v>
      </c>
      <c r="O51" s="1954"/>
      <c r="P51" s="1954"/>
      <c r="Q51" s="1954"/>
      <c r="R51" s="1954"/>
      <c r="S51" s="1954"/>
      <c r="T51" s="1954"/>
      <c r="U51" s="902"/>
      <c r="V51" s="902"/>
      <c r="W51" s="953"/>
      <c r="X51" s="902"/>
    </row>
    <row r="52" spans="1:24" ht="9" customHeight="1">
      <c r="B52" s="902"/>
      <c r="C52" s="902"/>
      <c r="D52" s="1370"/>
      <c r="E52" s="934"/>
      <c r="F52" s="1059"/>
      <c r="G52" s="934"/>
      <c r="H52" s="1744"/>
      <c r="I52" s="1483"/>
      <c r="J52" s="1484"/>
      <c r="K52" s="1484"/>
      <c r="L52" s="1484"/>
      <c r="M52" s="576"/>
      <c r="N52" s="1920" t="s">
        <v>1547</v>
      </c>
      <c r="O52" s="1920"/>
      <c r="P52" s="1920"/>
      <c r="Q52" s="1920"/>
      <c r="R52" s="1920"/>
      <c r="S52" s="1920"/>
      <c r="T52" s="1920"/>
      <c r="U52" s="1746"/>
      <c r="V52" s="902"/>
      <c r="W52" s="902"/>
      <c r="X52" s="902"/>
    </row>
    <row r="53" spans="1:24" ht="9" customHeight="1">
      <c r="B53" s="938"/>
      <c r="C53" s="902"/>
      <c r="D53" s="902"/>
      <c r="E53" s="934"/>
      <c r="F53" s="1060"/>
      <c r="G53" s="1370"/>
      <c r="H53" s="1745"/>
      <c r="I53" s="1483"/>
      <c r="J53" s="1485"/>
      <c r="K53" s="1485"/>
      <c r="L53" s="1485"/>
      <c r="N53" s="1097" t="s">
        <v>1448</v>
      </c>
      <c r="O53" s="693"/>
      <c r="P53" s="693"/>
      <c r="Q53" s="287" t="s">
        <v>1447</v>
      </c>
      <c r="R53" s="693"/>
      <c r="S53" s="693"/>
      <c r="T53" s="1385"/>
      <c r="U53" s="902"/>
      <c r="V53" s="902"/>
      <c r="W53" s="902"/>
      <c r="X53" s="902"/>
    </row>
    <row r="54" spans="1:24" ht="8.25" customHeight="1">
      <c r="B54" s="902"/>
      <c r="C54" s="902"/>
      <c r="D54" s="902"/>
      <c r="E54" s="934"/>
      <c r="F54" s="1060"/>
      <c r="G54" s="902"/>
      <c r="H54" s="1485"/>
      <c r="I54" s="1483"/>
      <c r="J54" s="1485"/>
      <c r="K54" s="1485"/>
      <c r="L54" s="1485"/>
      <c r="M54" s="204" t="s">
        <v>221</v>
      </c>
      <c r="N54" s="1936" t="s">
        <v>1364</v>
      </c>
      <c r="O54" s="1936"/>
      <c r="P54" s="1936"/>
      <c r="Q54" s="1936"/>
      <c r="R54" s="1936"/>
      <c r="S54" s="1936"/>
      <c r="T54" s="1936"/>
      <c r="U54" s="189"/>
      <c r="V54" s="902"/>
      <c r="W54" s="902"/>
      <c r="X54" s="902"/>
    </row>
    <row r="55" spans="1:24" ht="12" customHeight="1">
      <c r="B55" s="902"/>
      <c r="C55" s="902"/>
      <c r="D55" s="902"/>
      <c r="E55" s="934"/>
      <c r="F55" s="1060"/>
      <c r="G55" s="902"/>
      <c r="H55" s="902"/>
      <c r="I55" s="1483"/>
      <c r="K55" s="944"/>
      <c r="N55" s="902"/>
      <c r="O55" s="902"/>
      <c r="P55" s="902"/>
      <c r="Q55" s="902"/>
      <c r="R55" s="902"/>
      <c r="S55" s="902"/>
      <c r="T55" s="903"/>
      <c r="U55" s="189"/>
      <c r="V55" s="902"/>
      <c r="X55" s="902"/>
    </row>
    <row r="56" spans="1:24" ht="12" customHeight="1">
      <c r="B56" s="902"/>
      <c r="C56" s="902"/>
      <c r="D56" s="902"/>
      <c r="I56" s="877"/>
      <c r="M56" s="902"/>
      <c r="N56" s="902"/>
      <c r="O56" s="902"/>
      <c r="P56" s="189"/>
      <c r="Q56" s="902"/>
      <c r="R56" s="902"/>
      <c r="U56" s="189"/>
    </row>
    <row r="57" spans="1:24" ht="9.75" customHeight="1">
      <c r="I57" s="1400"/>
      <c r="L57" s="189"/>
      <c r="M57" s="189"/>
      <c r="N57" s="189"/>
      <c r="P57" s="189"/>
      <c r="Q57" s="189"/>
      <c r="R57" s="189"/>
      <c r="S57" s="189"/>
    </row>
    <row r="58" spans="1:24"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</row>
    <row r="59" spans="1:24">
      <c r="P59" s="189"/>
      <c r="Q59" s="902"/>
    </row>
    <row r="62" spans="1:24"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</row>
    <row r="63" spans="1:24"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</row>
    <row r="64" spans="1:24"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</row>
    <row r="65" spans="2:20"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</row>
    <row r="68" spans="2:20"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</row>
    <row r="69" spans="2:20"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</row>
    <row r="70" spans="2:20"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</row>
    <row r="71" spans="2:20"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  <row r="77" spans="2:20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</row>
    <row r="78" spans="2:20"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4:T54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1:T51"/>
    <mergeCell ref="T3:T7"/>
    <mergeCell ref="P4:P6"/>
    <mergeCell ref="O5:O6"/>
    <mergeCell ref="R3:R6"/>
    <mergeCell ref="C4:C6"/>
    <mergeCell ref="B4:B6"/>
    <mergeCell ref="B51:F51"/>
    <mergeCell ref="N52:T52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0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45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2023-01-24T04:32:39Z</cp:lastPrinted>
  <dcterms:created xsi:type="dcterms:W3CDTF">2007-04-10T13:42:14Z</dcterms:created>
  <dcterms:modified xsi:type="dcterms:W3CDTF">2023-01-24T04:50:29Z</dcterms:modified>
</cp:coreProperties>
</file>